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45" windowWidth="20205" windowHeight="11595" activeTab="0"/>
  </bookViews>
  <sheets>
    <sheet name="W15140WPdoc" sheetId="1" r:id="rId1"/>
  </sheets>
  <definedNames/>
  <calcPr fullCalcOnLoad="1"/>
</workbook>
</file>

<file path=xl/sharedStrings.xml><?xml version="1.0" encoding="utf-8"?>
<sst xmlns="http://schemas.openxmlformats.org/spreadsheetml/2006/main" count="974" uniqueCount="430">
  <si>
    <t>Reeks:1      Wind : -2.0</t>
  </si>
  <si>
    <t xml:space="preserve">Geeraert Annick          </t>
  </si>
  <si>
    <t xml:space="preserve">ACME </t>
  </si>
  <si>
    <t>W45</t>
  </si>
  <si>
    <t xml:space="preserve">Slabbaert Mia            </t>
  </si>
  <si>
    <t xml:space="preserve">ASVO </t>
  </si>
  <si>
    <t xml:space="preserve">Vanhorenbeeck Hildegarde </t>
  </si>
  <si>
    <t xml:space="preserve">STAX </t>
  </si>
  <si>
    <t>W60</t>
  </si>
  <si>
    <t xml:space="preserve">Vansteenkiste Katrien    </t>
  </si>
  <si>
    <t xml:space="preserve">AZW  </t>
  </si>
  <si>
    <t>W50</t>
  </si>
  <si>
    <t xml:space="preserve">De Munck Erlinde         </t>
  </si>
  <si>
    <t>W55</t>
  </si>
  <si>
    <t xml:space="preserve">De Bruycker Carine       </t>
  </si>
  <si>
    <t xml:space="preserve">RCG  </t>
  </si>
  <si>
    <t xml:space="preserve">Woets Machteld           </t>
  </si>
  <si>
    <t>Reeks:2      Wind : 1.3</t>
  </si>
  <si>
    <t>Dieleman Pieters Patricia</t>
  </si>
  <si>
    <t xml:space="preserve">NA   </t>
  </si>
  <si>
    <t xml:space="preserve">Heppener Mandy           </t>
  </si>
  <si>
    <t xml:space="preserve">Van Rosendaal Edith      </t>
  </si>
  <si>
    <t xml:space="preserve">LOOI </t>
  </si>
  <si>
    <t>W40</t>
  </si>
  <si>
    <t xml:space="preserve">Dehullu Karolien         </t>
  </si>
  <si>
    <t>W35</t>
  </si>
  <si>
    <t xml:space="preserve">Van Belleghem Vita       </t>
  </si>
  <si>
    <t xml:space="preserve">Vindevoghel Sofie        </t>
  </si>
  <si>
    <t xml:space="preserve">Oplinus Kristien         </t>
  </si>
  <si>
    <t xml:space="preserve">FLAC </t>
  </si>
  <si>
    <t>Reeks:1</t>
  </si>
  <si>
    <t xml:space="preserve">Geiregat Carine          </t>
  </si>
  <si>
    <t xml:space="preserve">DEIN </t>
  </si>
  <si>
    <t>2'49.59</t>
  </si>
  <si>
    <t xml:space="preserve">Geerolf Christa          </t>
  </si>
  <si>
    <t xml:space="preserve">AVMO </t>
  </si>
  <si>
    <t>2'59.22</t>
  </si>
  <si>
    <t xml:space="preserve">Versluys Sabine          </t>
  </si>
  <si>
    <t>3'01.45</t>
  </si>
  <si>
    <t xml:space="preserve">Thibaut Erica            </t>
  </si>
  <si>
    <t xml:space="preserve">KAAG </t>
  </si>
  <si>
    <t>3'01.90</t>
  </si>
  <si>
    <t xml:space="preserve">Devos An                 </t>
  </si>
  <si>
    <t>3'07.56</t>
  </si>
  <si>
    <t xml:space="preserve">Mulleman Chantal         </t>
  </si>
  <si>
    <t>3'36.64</t>
  </si>
  <si>
    <t xml:space="preserve">Van Coillie Els          </t>
  </si>
  <si>
    <t xml:space="preserve">   DIS  </t>
  </si>
  <si>
    <t xml:space="preserve">Decaesteker Marijke      </t>
  </si>
  <si>
    <t xml:space="preserve">MACW </t>
  </si>
  <si>
    <t xml:space="preserve">Vanhessche Hilde         </t>
  </si>
  <si>
    <t>7'17.69</t>
  </si>
  <si>
    <t xml:space="preserve">De Rycke Nadia           </t>
  </si>
  <si>
    <t xml:space="preserve">RIEM </t>
  </si>
  <si>
    <t>7'17.99</t>
  </si>
  <si>
    <t xml:space="preserve">Van Hulle Carine         </t>
  </si>
  <si>
    <t>7'41.63</t>
  </si>
  <si>
    <t xml:space="preserve">De Bock Hilde            </t>
  </si>
  <si>
    <t xml:space="preserve">ZA   </t>
  </si>
  <si>
    <t>7'48.97</t>
  </si>
  <si>
    <t xml:space="preserve">Maes Sabine              </t>
  </si>
  <si>
    <t>7'51.07</t>
  </si>
  <si>
    <t>7'51.31</t>
  </si>
  <si>
    <t xml:space="preserve">Verdonckt Greet          </t>
  </si>
  <si>
    <t>7'53.35</t>
  </si>
  <si>
    <t xml:space="preserve">Hoorelbeke Marleen       </t>
  </si>
  <si>
    <t>7'56.85</t>
  </si>
  <si>
    <t xml:space="preserve">Bogaert Franka           </t>
  </si>
  <si>
    <t>8'16.20</t>
  </si>
  <si>
    <t xml:space="preserve">Goossens Martine         </t>
  </si>
  <si>
    <t>8'24.29</t>
  </si>
  <si>
    <t xml:space="preserve">Vos Ingrid               </t>
  </si>
  <si>
    <t xml:space="preserve">ACW  </t>
  </si>
  <si>
    <t>27.74m</t>
  </si>
  <si>
    <t xml:space="preserve">Lenaers Regina           </t>
  </si>
  <si>
    <t>25.80m</t>
  </si>
  <si>
    <t xml:space="preserve">Van Den Meersschaut Ann  </t>
  </si>
  <si>
    <t>22.41m</t>
  </si>
  <si>
    <t xml:space="preserve">Dhont Valerie            </t>
  </si>
  <si>
    <t>22.39m</t>
  </si>
  <si>
    <t xml:space="preserve">Wyffels Katia            </t>
  </si>
  <si>
    <t xml:space="preserve">OB   </t>
  </si>
  <si>
    <t>18.90m</t>
  </si>
  <si>
    <t xml:space="preserve">Van Hecke - 21 Natascha  </t>
  </si>
  <si>
    <t>14.63m</t>
  </si>
  <si>
    <t xml:space="preserve">Hanssens Rachel          </t>
  </si>
  <si>
    <t>18.64m</t>
  </si>
  <si>
    <t>W85</t>
  </si>
  <si>
    <t>1.18m</t>
  </si>
  <si>
    <t>1.15m</t>
  </si>
  <si>
    <t>1.10m</t>
  </si>
  <si>
    <t xml:space="preserve">Rogiers Conny            </t>
  </si>
  <si>
    <t>21.69m</t>
  </si>
  <si>
    <t>19.56m</t>
  </si>
  <si>
    <t>18.50m</t>
  </si>
  <si>
    <t>15.67m</t>
  </si>
  <si>
    <t>15.55m</t>
  </si>
  <si>
    <t>13.00m</t>
  </si>
  <si>
    <t xml:space="preserve">Franckx Magda            </t>
  </si>
  <si>
    <t xml:space="preserve">BRAB </t>
  </si>
  <si>
    <t>23.25m</t>
  </si>
  <si>
    <t>W65</t>
  </si>
  <si>
    <t xml:space="preserve">De Keyzer Odette         </t>
  </si>
  <si>
    <t>22.53m</t>
  </si>
  <si>
    <t>15.71m</t>
  </si>
  <si>
    <t>12.09m</t>
  </si>
  <si>
    <t>4.27m</t>
  </si>
  <si>
    <t>3.95m</t>
  </si>
  <si>
    <t>3.80m</t>
  </si>
  <si>
    <t>3.62m</t>
  </si>
  <si>
    <t>3.43m</t>
  </si>
  <si>
    <t>3.35m</t>
  </si>
  <si>
    <t>3.21m</t>
  </si>
  <si>
    <t>2.69m</t>
  </si>
  <si>
    <t>8.22m</t>
  </si>
  <si>
    <t>7.57m</t>
  </si>
  <si>
    <t>7.55m</t>
  </si>
  <si>
    <t>7.42m</t>
  </si>
  <si>
    <t>5.88m</t>
  </si>
  <si>
    <t>5.82m</t>
  </si>
  <si>
    <t>5.54m</t>
  </si>
  <si>
    <t>8.90m</t>
  </si>
  <si>
    <t>8.58m</t>
  </si>
  <si>
    <t xml:space="preserve">Haspeslagh Charlotte     </t>
  </si>
  <si>
    <t>8.24m</t>
  </si>
  <si>
    <t xml:space="preserve">Luytens Hilde            </t>
  </si>
  <si>
    <t xml:space="preserve">RAM  </t>
  </si>
  <si>
    <t>7.40m</t>
  </si>
  <si>
    <t>7.17m</t>
  </si>
  <si>
    <t>6.98m</t>
  </si>
  <si>
    <t>6.79m</t>
  </si>
  <si>
    <t>6.69m</t>
  </si>
  <si>
    <t>6.75m</t>
  </si>
  <si>
    <t>Reeks:1      Wind : 1.3</t>
  </si>
  <si>
    <t xml:space="preserve">Rasenberg Ronald         </t>
  </si>
  <si>
    <t xml:space="preserve">Bervoets Ronny           </t>
  </si>
  <si>
    <t>M50</t>
  </si>
  <si>
    <t xml:space="preserve">Cortvrindt Johan         </t>
  </si>
  <si>
    <t>M45</t>
  </si>
  <si>
    <t xml:space="preserve">Buelens Marc             </t>
  </si>
  <si>
    <t xml:space="preserve">DCLA </t>
  </si>
  <si>
    <t>M55</t>
  </si>
  <si>
    <t xml:space="preserve">Verbeek Pieter**         </t>
  </si>
  <si>
    <t xml:space="preserve">AVLO </t>
  </si>
  <si>
    <t>M70</t>
  </si>
  <si>
    <t>Reeks:2      Wind : -0.1</t>
  </si>
  <si>
    <t xml:space="preserve">De Pauw Franky           </t>
  </si>
  <si>
    <t xml:space="preserve">Deschamps Frederik       </t>
  </si>
  <si>
    <t>M40</t>
  </si>
  <si>
    <t xml:space="preserve">Verhaegen Hugo           </t>
  </si>
  <si>
    <t xml:space="preserve">LIER </t>
  </si>
  <si>
    <t>M60</t>
  </si>
  <si>
    <t xml:space="preserve">Zaman Jacques            </t>
  </si>
  <si>
    <t>Reeks:3      Wind : 1.3</t>
  </si>
  <si>
    <t xml:space="preserve">De Vriese Christophe     </t>
  </si>
  <si>
    <t>M35</t>
  </si>
  <si>
    <t xml:space="preserve">Gevaert Niko             </t>
  </si>
  <si>
    <t xml:space="preserve">Van Wynsberge Kurt       </t>
  </si>
  <si>
    <t xml:space="preserve">Rijdant Pascal           </t>
  </si>
  <si>
    <t xml:space="preserve">ACG  </t>
  </si>
  <si>
    <t xml:space="preserve">Geirnaert Kiliaan        </t>
  </si>
  <si>
    <t xml:space="preserve">    NG  </t>
  </si>
  <si>
    <t xml:space="preserve">Demetter Pieter          </t>
  </si>
  <si>
    <t>2'23.76</t>
  </si>
  <si>
    <t xml:space="preserve">Vandevelde Dany          </t>
  </si>
  <si>
    <t>2'25.34</t>
  </si>
  <si>
    <t xml:space="preserve">Goossens Marc            </t>
  </si>
  <si>
    <t>2'27.69</t>
  </si>
  <si>
    <t xml:space="preserve">Cambier Piet             </t>
  </si>
  <si>
    <t>2'42.49</t>
  </si>
  <si>
    <t xml:space="preserve">Van Bruwaene Rudi        </t>
  </si>
  <si>
    <t>3'06.63</t>
  </si>
  <si>
    <t xml:space="preserve">Telier Gaston            </t>
  </si>
  <si>
    <t>3'07.84</t>
  </si>
  <si>
    <t>Reeks:2</t>
  </si>
  <si>
    <t xml:space="preserve">Vanhoutte Gunther        </t>
  </si>
  <si>
    <t>2'07.60</t>
  </si>
  <si>
    <t xml:space="preserve">Depuydt Patrick          </t>
  </si>
  <si>
    <t>2'15.27</t>
  </si>
  <si>
    <t xml:space="preserve">Braeckevelt Brecht       </t>
  </si>
  <si>
    <t>2'16.78</t>
  </si>
  <si>
    <t xml:space="preserve">Meirlaen Pascal          </t>
  </si>
  <si>
    <t>2'20.21</t>
  </si>
  <si>
    <t xml:space="preserve">Huyghe Kristof           </t>
  </si>
  <si>
    <t xml:space="preserve">AVR  </t>
  </si>
  <si>
    <t>2'20.77</t>
  </si>
  <si>
    <t xml:space="preserve">De Paemelaere Nick       </t>
  </si>
  <si>
    <t>2'25.30</t>
  </si>
  <si>
    <t xml:space="preserve">Bleyaert Wim             </t>
  </si>
  <si>
    <t xml:space="preserve">HAC  </t>
  </si>
  <si>
    <t>2'30.35</t>
  </si>
  <si>
    <t xml:space="preserve">Lannoo Luc               </t>
  </si>
  <si>
    <t xml:space="preserve">De Vreeze Tom            </t>
  </si>
  <si>
    <t>Reeks:3</t>
  </si>
  <si>
    <t xml:space="preserve">Vandevelde Herman        </t>
  </si>
  <si>
    <t xml:space="preserve">Le Roy Jan               </t>
  </si>
  <si>
    <t xml:space="preserve">Laureys Didier           </t>
  </si>
  <si>
    <t>Reeks:4</t>
  </si>
  <si>
    <t xml:space="preserve">Pieroni Johan            </t>
  </si>
  <si>
    <t xml:space="preserve">Tanghe Jeroen            </t>
  </si>
  <si>
    <t xml:space="preserve">Degieter Johnny          </t>
  </si>
  <si>
    <t xml:space="preserve">VITA </t>
  </si>
  <si>
    <t xml:space="preserve">Huwel Wim                </t>
  </si>
  <si>
    <t xml:space="preserve">Herregodts Yves          </t>
  </si>
  <si>
    <t xml:space="preserve">Bleyaert Bart            </t>
  </si>
  <si>
    <t>5'53.81</t>
  </si>
  <si>
    <t xml:space="preserve">Lazou Mathieu            </t>
  </si>
  <si>
    <t>6'00.71</t>
  </si>
  <si>
    <t xml:space="preserve">Laga Fabrice             </t>
  </si>
  <si>
    <t>6'06.89</t>
  </si>
  <si>
    <t xml:space="preserve">Verkaemer Bart           </t>
  </si>
  <si>
    <t>6'10.19</t>
  </si>
  <si>
    <t xml:space="preserve">De Smet Kristof          </t>
  </si>
  <si>
    <t>6'24.39</t>
  </si>
  <si>
    <t xml:space="preserve">Bultinck Marc            </t>
  </si>
  <si>
    <t>6'33.62</t>
  </si>
  <si>
    <t xml:space="preserve">Van Lierde Freddy        </t>
  </si>
  <si>
    <t>6'34.95</t>
  </si>
  <si>
    <t xml:space="preserve">Van Landeghem Freddy     </t>
  </si>
  <si>
    <t>6'39.04</t>
  </si>
  <si>
    <t xml:space="preserve">Vanderroost Mike         </t>
  </si>
  <si>
    <t>6'43.87</t>
  </si>
  <si>
    <t xml:space="preserve">Walraedt Gilbert         </t>
  </si>
  <si>
    <t>6'45.03</t>
  </si>
  <si>
    <t xml:space="preserve">Verschaeve Bart          </t>
  </si>
  <si>
    <t>6'50.33</t>
  </si>
  <si>
    <t>6'58.15</t>
  </si>
  <si>
    <t xml:space="preserve">Van Cauwenberghe Filip   </t>
  </si>
  <si>
    <t>6'59.48</t>
  </si>
  <si>
    <t>7'03.15</t>
  </si>
  <si>
    <t xml:space="preserve">Verlinden Jurgen         </t>
  </si>
  <si>
    <t>7'09.01</t>
  </si>
  <si>
    <t>7'45.74</t>
  </si>
  <si>
    <t>7'49.81</t>
  </si>
  <si>
    <t xml:space="preserve">Van Hessche Marcel       </t>
  </si>
  <si>
    <t>8'32.96</t>
  </si>
  <si>
    <t xml:space="preserve">De Geyter Olivier        </t>
  </si>
  <si>
    <t xml:space="preserve">USTA </t>
  </si>
  <si>
    <t>12.70m</t>
  </si>
  <si>
    <t xml:space="preserve">Fabry Emile              </t>
  </si>
  <si>
    <t>10.24m</t>
  </si>
  <si>
    <t xml:space="preserve">Baeke Patrick            </t>
  </si>
  <si>
    <t>10.13m</t>
  </si>
  <si>
    <t xml:space="preserve">Daenens Nic              </t>
  </si>
  <si>
    <t>8.40m</t>
  </si>
  <si>
    <t xml:space="preserve">De Backer Tijl           </t>
  </si>
  <si>
    <t>7.36m</t>
  </si>
  <si>
    <t xml:space="preserve">Bacart Georges           </t>
  </si>
  <si>
    <t>10.15m</t>
  </si>
  <si>
    <t xml:space="preserve">Willems Wim              </t>
  </si>
  <si>
    <t>9.72m</t>
  </si>
  <si>
    <t xml:space="preserve">Van Gansen Julien        </t>
  </si>
  <si>
    <t xml:space="preserve">ACHL </t>
  </si>
  <si>
    <t>7.75m</t>
  </si>
  <si>
    <t xml:space="preserve">Van Gansbeke Johan       </t>
  </si>
  <si>
    <t xml:space="preserve">    GP  </t>
  </si>
  <si>
    <t xml:space="preserve">Van der Steen Wilfried   </t>
  </si>
  <si>
    <t>10.85m</t>
  </si>
  <si>
    <t xml:space="preserve">Longeval Fernand         </t>
  </si>
  <si>
    <t>9.70m</t>
  </si>
  <si>
    <t>M65</t>
  </si>
  <si>
    <t xml:space="preserve">Lutz Theodore            </t>
  </si>
  <si>
    <t>9.55m</t>
  </si>
  <si>
    <t xml:space="preserve">Wylleman Marc            </t>
  </si>
  <si>
    <t>8.57m</t>
  </si>
  <si>
    <t xml:space="preserve">De Rocker Leopold        </t>
  </si>
  <si>
    <t>8.50m</t>
  </si>
  <si>
    <t xml:space="preserve">Braems Andre             </t>
  </si>
  <si>
    <t>6.95m</t>
  </si>
  <si>
    <t>M80</t>
  </si>
  <si>
    <t xml:space="preserve">Lippens Denis            </t>
  </si>
  <si>
    <t>6.76m</t>
  </si>
  <si>
    <t xml:space="preserve">Moens Carolus            </t>
  </si>
  <si>
    <t>5.25m</t>
  </si>
  <si>
    <t>M85</t>
  </si>
  <si>
    <t>5.27m</t>
  </si>
  <si>
    <t>4.90m</t>
  </si>
  <si>
    <t>4.86m</t>
  </si>
  <si>
    <t>4.55m</t>
  </si>
  <si>
    <t xml:space="preserve">De Geest Andreas         </t>
  </si>
  <si>
    <t>4.54m</t>
  </si>
  <si>
    <t>4.46m</t>
  </si>
  <si>
    <t xml:space="preserve">Bleyaert Tom             </t>
  </si>
  <si>
    <t>4.16m</t>
  </si>
  <si>
    <t xml:space="preserve">Bollens Jacques          </t>
  </si>
  <si>
    <t xml:space="preserve">ACKO </t>
  </si>
  <si>
    <t>3.96m</t>
  </si>
  <si>
    <t>3.78m</t>
  </si>
  <si>
    <t>3.72m</t>
  </si>
  <si>
    <t xml:space="preserve">De Rocker Eric           </t>
  </si>
  <si>
    <t>3.59m</t>
  </si>
  <si>
    <t>3.55m</t>
  </si>
  <si>
    <t>30.14m</t>
  </si>
  <si>
    <t>26.23m</t>
  </si>
  <si>
    <t>24.03m</t>
  </si>
  <si>
    <t>20.16m</t>
  </si>
  <si>
    <t>36.96m</t>
  </si>
  <si>
    <t>36.84m</t>
  </si>
  <si>
    <t xml:space="preserve">Becue Johan              </t>
  </si>
  <si>
    <t>31.56m</t>
  </si>
  <si>
    <t>29.15m</t>
  </si>
  <si>
    <t>28.65m</t>
  </si>
  <si>
    <t>25.17m</t>
  </si>
  <si>
    <t>32.28m</t>
  </si>
  <si>
    <t>32.20m</t>
  </si>
  <si>
    <t xml:space="preserve">Dorme Willy              </t>
  </si>
  <si>
    <t>30.88m</t>
  </si>
  <si>
    <t>29.07m</t>
  </si>
  <si>
    <t>25.10m</t>
  </si>
  <si>
    <t xml:space="preserve">Somers Roland            </t>
  </si>
  <si>
    <t>23.40m</t>
  </si>
  <si>
    <t>15.95m</t>
  </si>
  <si>
    <t>14.27m</t>
  </si>
  <si>
    <t>10.09m</t>
  </si>
  <si>
    <t>1.74m</t>
  </si>
  <si>
    <t>1.56m</t>
  </si>
  <si>
    <t>1.44m</t>
  </si>
  <si>
    <t>1.41m</t>
  </si>
  <si>
    <t>1.38m</t>
  </si>
  <si>
    <t xml:space="preserve">Roesbeke Rudy            </t>
  </si>
  <si>
    <t>1.35m</t>
  </si>
  <si>
    <t>1.30m</t>
  </si>
  <si>
    <t xml:space="preserve">De Craene Patrick        </t>
  </si>
  <si>
    <t>1.25m</t>
  </si>
  <si>
    <t>0.90m</t>
  </si>
  <si>
    <t>37.72m</t>
  </si>
  <si>
    <t xml:space="preserve">Verstraete Walter        </t>
  </si>
  <si>
    <t>35.91m</t>
  </si>
  <si>
    <t>34.33m</t>
  </si>
  <si>
    <t>33.70m</t>
  </si>
  <si>
    <t>33.03m</t>
  </si>
  <si>
    <t>28.27m</t>
  </si>
  <si>
    <t>26.38m</t>
  </si>
  <si>
    <t>21.59m</t>
  </si>
  <si>
    <t>37.99m</t>
  </si>
  <si>
    <t>35.02m</t>
  </si>
  <si>
    <t>31.85m</t>
  </si>
  <si>
    <t>29.26m</t>
  </si>
  <si>
    <t>21.82m</t>
  </si>
  <si>
    <t>20.06m</t>
  </si>
  <si>
    <t>30.32m</t>
  </si>
  <si>
    <t>29.16m</t>
  </si>
  <si>
    <t>27.69m</t>
  </si>
  <si>
    <t>23.17m</t>
  </si>
  <si>
    <t>22.93m</t>
  </si>
  <si>
    <t>25.46m</t>
  </si>
  <si>
    <t>13.61m</t>
  </si>
  <si>
    <t>13.10m</t>
  </si>
  <si>
    <t>Age factor</t>
  </si>
  <si>
    <t>Prestatie</t>
  </si>
  <si>
    <t>Coëfficiënt</t>
  </si>
  <si>
    <t>2.45.95</t>
  </si>
  <si>
    <t>2.53.05</t>
  </si>
  <si>
    <t>2.51.12</t>
  </si>
  <si>
    <t>2.27.70</t>
  </si>
  <si>
    <t>2.36.09</t>
  </si>
  <si>
    <t>2.59.71</t>
  </si>
  <si>
    <t xml:space="preserve">100 meter                 Mas Dames  </t>
  </si>
  <si>
    <t>6.56.45</t>
  </si>
  <si>
    <t>Punten HT</t>
  </si>
  <si>
    <t xml:space="preserve">800 meter                 Mas Dames  </t>
  </si>
  <si>
    <t xml:space="preserve">300 meter                 Mas Dames  </t>
  </si>
  <si>
    <t xml:space="preserve">2000 meter                Mas Dames  </t>
  </si>
  <si>
    <t xml:space="preserve">discuswerpen 1,000kg      Mas Dames  </t>
  </si>
  <si>
    <t xml:space="preserve">discuswerpen 0,750kg W75+ Mas Dames  </t>
  </si>
  <si>
    <t>6.56.73</t>
  </si>
  <si>
    <t>7.19.22</t>
  </si>
  <si>
    <t>7.26.21</t>
  </si>
  <si>
    <t>7.30.37</t>
  </si>
  <si>
    <t>7.08.35</t>
  </si>
  <si>
    <t>7.31.20</t>
  </si>
  <si>
    <t>6.48.70</t>
  </si>
  <si>
    <t>6.53.51</t>
  </si>
  <si>
    <t>7.17.30</t>
  </si>
  <si>
    <t>2.17.44</t>
  </si>
  <si>
    <t>2.18.95</t>
  </si>
  <si>
    <t>2.10.67</t>
  </si>
  <si>
    <t>2.23.76</t>
  </si>
  <si>
    <t>2.31.79</t>
  </si>
  <si>
    <t>2.19.38</t>
  </si>
  <si>
    <t>2.15.65</t>
  </si>
  <si>
    <t>2.29.11</t>
  </si>
  <si>
    <t>2.01.99</t>
  </si>
  <si>
    <t>2.14.58</t>
  </si>
  <si>
    <t>2.09.04</t>
  </si>
  <si>
    <t>1.59.68</t>
  </si>
  <si>
    <t>2.08.55</t>
  </si>
  <si>
    <t>5.52.28</t>
  </si>
  <si>
    <t>5.59.15</t>
  </si>
  <si>
    <t>6.08.58</t>
  </si>
  <si>
    <t>6.22.72</t>
  </si>
  <si>
    <t>6.42.12</t>
  </si>
  <si>
    <t>7.07.15</t>
  </si>
  <si>
    <t>6.22.50</t>
  </si>
  <si>
    <t>6.33.33</t>
  </si>
  <si>
    <t>6.42.10</t>
  </si>
  <si>
    <t>6.29.92</t>
  </si>
  <si>
    <t>5.49.28</t>
  </si>
  <si>
    <t>6.09.80</t>
  </si>
  <si>
    <t>6.55.48</t>
  </si>
  <si>
    <t>5.33.50</t>
  </si>
  <si>
    <t>5.43.17</t>
  </si>
  <si>
    <t>6.17.23</t>
  </si>
  <si>
    <t>6.05.30</t>
  </si>
  <si>
    <t xml:space="preserve">hoogspringen              Mas Dames  </t>
  </si>
  <si>
    <t xml:space="preserve">speerwerpen 600g W35...45 Mas Dames  </t>
  </si>
  <si>
    <t xml:space="preserve">speerwerpen 500g W50ﾉ70 Mas Dames </t>
  </si>
  <si>
    <t xml:space="preserve">verspringen               Mas Dames </t>
  </si>
  <si>
    <t xml:space="preserve">kogel 4,000kg W35,40,45 Mas Dames  </t>
  </si>
  <si>
    <t xml:space="preserve">kogel 3,000kg W50+ Mas Dames  </t>
  </si>
  <si>
    <t xml:space="preserve">kogel 2,000kg W75+ Mas Dames  </t>
  </si>
  <si>
    <t xml:space="preserve">100 meter                 Mas Heren  </t>
  </si>
  <si>
    <t xml:space="preserve">800 meter                 Mas Heren  </t>
  </si>
  <si>
    <t xml:space="preserve">300 meter                 Mas Heren  </t>
  </si>
  <si>
    <t xml:space="preserve">2000 meter                Mas Heren  </t>
  </si>
  <si>
    <t xml:space="preserve">kogel 7,260kg M35...45    Mas Heren  </t>
  </si>
  <si>
    <t xml:space="preserve">kogel 6,000kg M50...55 Mas Heren  </t>
  </si>
  <si>
    <t xml:space="preserve">kogel 5,000kg M60...65 Mas Heren  </t>
  </si>
  <si>
    <t xml:space="preserve">kogel 4,000kg M70+     Mas Heren  </t>
  </si>
  <si>
    <t xml:space="preserve">kogel 3,000kg M80+ Mas Heren  </t>
  </si>
  <si>
    <t xml:space="preserve">verspringen               Mas Heren  </t>
  </si>
  <si>
    <t xml:space="preserve">discus 2,000kg M35..45    Mas Heren  </t>
  </si>
  <si>
    <t xml:space="preserve">discus 1,500kg M50,M55    Mas Heren  </t>
  </si>
  <si>
    <t xml:space="preserve">discus 1,000kg M60+    Mas Heren  </t>
  </si>
  <si>
    <t xml:space="preserve">hoogspringen              Mas Heren </t>
  </si>
  <si>
    <t xml:space="preserve">speerwerpen 800g M35...45 Mas Heren </t>
  </si>
  <si>
    <t xml:space="preserve">speerwerpen 700g M50...55 Mas Heren  </t>
  </si>
  <si>
    <t xml:space="preserve">speerwerpen 600g M60...65 Mas Heren  </t>
  </si>
  <si>
    <t xml:space="preserve">speerwerpen 500g M70+ Mas Heren  </t>
  </si>
  <si>
    <t xml:space="preserve">speerwerpen 400g M80+ Mas Heren  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</si>
</sst>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.##0"/>
    <numFmt numFmtId="173" formatCode="#.##0.0000"/>
    <numFmt numFmtId="174" formatCode="#,##0.0"/>
    <numFmt numFmtId="175" formatCode="#.##0.0"/>
    <numFmt numFmtId="176" formatCode="#.##0.00"/>
    <numFmt numFmtId="177" formatCode="#.##0.000"/>
    <numFmt numFmtId="178" formatCode="#.##0."/>
    <numFmt numFmtId="179" formatCode="#.##"/>
    <numFmt numFmtId="180" formatCode="#.#"/>
    <numFmt numFmtId="181" formatCode="#"/>
    <numFmt numFmtId="182" formatCode="_(* #.##0.00_);_(* \(#.##0.00\);_(* &quot;-&quot;??_);_(@_)"/>
    <numFmt numFmtId="183" formatCode="#.##0.0000_);\(#.##0.0000\)"/>
    <numFmt numFmtId="184" formatCode="0.0000E+00"/>
    <numFmt numFmtId="185" formatCode="0.0000"/>
    <numFmt numFmtId="186" formatCode="0.000"/>
    <numFmt numFmtId="187" formatCode="0.00000"/>
    <numFmt numFmtId="188" formatCode="[$-813]dddd\ d\ mmmm\ yyyy"/>
    <numFmt numFmtId="189" formatCode="0.0"/>
    <numFmt numFmtId="190" formatCode="0.000000"/>
    <numFmt numFmtId="191" formatCode="0.0000000"/>
    <numFmt numFmtId="192" formatCode="mm:ss.00"/>
    <numFmt numFmtId="193" formatCode="_(* #.##0.0000_);_(* \(#.##0.0000\);_(* &quot;-&quot;??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92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187" fontId="0" fillId="0" borderId="18" xfId="0" applyNumberFormat="1" applyBorder="1" applyAlignment="1">
      <alignment horizontal="center"/>
    </xf>
    <xf numFmtId="185" fontId="0" fillId="0" borderId="18" xfId="44" applyNumberFormat="1" applyFont="1" applyBorder="1" applyAlignment="1" quotePrefix="1">
      <alignment horizontal="center"/>
    </xf>
    <xf numFmtId="185" fontId="0" fillId="0" borderId="18" xfId="0" applyNumberFormat="1" applyBorder="1" applyAlignment="1" quotePrefix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271">
      <selection activeCell="J283" sqref="J283"/>
    </sheetView>
  </sheetViews>
  <sheetFormatPr defaultColWidth="9.140625" defaultRowHeight="12.75"/>
  <cols>
    <col min="1" max="1" width="4.421875" style="0" customWidth="1"/>
    <col min="2" max="2" width="5.421875" style="0" customWidth="1"/>
    <col min="4" max="4" width="27.140625" style="0" customWidth="1"/>
    <col min="6" max="6" width="9.00390625" style="1" customWidth="1"/>
    <col min="8" max="9" width="9.00390625" style="2" customWidth="1"/>
    <col min="10" max="10" width="9.8515625" style="2" customWidth="1"/>
    <col min="11" max="11" width="10.00390625" style="2" bestFit="1" customWidth="1"/>
    <col min="12" max="12" width="9.421875" style="33" customWidth="1"/>
    <col min="13" max="13" width="11.421875" style="0" customWidth="1"/>
    <col min="14" max="14" width="8.28125" style="0" customWidth="1"/>
    <col min="15" max="15" width="9.7109375" style="0" customWidth="1"/>
  </cols>
  <sheetData>
    <row r="1" spans="10:11" ht="12.75">
      <c r="J1" s="39" t="s">
        <v>348</v>
      </c>
      <c r="K1" s="40"/>
    </row>
    <row r="2" spans="1:12" ht="12.75">
      <c r="A2" s="6" t="s">
        <v>357</v>
      </c>
      <c r="B2" s="7"/>
      <c r="C2" s="7"/>
      <c r="D2" s="7"/>
      <c r="E2" s="7"/>
      <c r="F2" s="8"/>
      <c r="G2" s="7"/>
      <c r="H2" s="9"/>
      <c r="I2" s="10"/>
      <c r="J2" s="3" t="s">
        <v>350</v>
      </c>
      <c r="K2" s="3" t="s">
        <v>349</v>
      </c>
      <c r="L2" s="34" t="s">
        <v>359</v>
      </c>
    </row>
    <row r="3" spans="1:12" ht="12.75">
      <c r="A3" s="11" t="s">
        <v>0</v>
      </c>
      <c r="B3" s="12"/>
      <c r="C3" s="12"/>
      <c r="D3" s="12"/>
      <c r="E3" s="12"/>
      <c r="F3" s="13"/>
      <c r="G3" s="12"/>
      <c r="H3" s="14"/>
      <c r="I3" s="15"/>
      <c r="J3" s="23"/>
      <c r="K3" s="23"/>
      <c r="L3" s="35"/>
    </row>
    <row r="4" spans="1:12" ht="12.75">
      <c r="A4" s="11"/>
      <c r="B4" s="12">
        <v>3</v>
      </c>
      <c r="C4" s="12">
        <v>2954</v>
      </c>
      <c r="D4" s="12" t="s">
        <v>6</v>
      </c>
      <c r="E4" s="12" t="s">
        <v>7</v>
      </c>
      <c r="F4" s="13">
        <v>15.74</v>
      </c>
      <c r="G4" s="12"/>
      <c r="H4" s="14" t="s">
        <v>8</v>
      </c>
      <c r="I4" s="15">
        <v>53</v>
      </c>
      <c r="J4" s="24">
        <v>0.814</v>
      </c>
      <c r="K4" s="22">
        <f aca="true" t="shared" si="0" ref="K4:K10">F4*J4+0.005</f>
        <v>12.81736</v>
      </c>
      <c r="L4" s="36">
        <v>835</v>
      </c>
    </row>
    <row r="5" spans="1:12" ht="12.75">
      <c r="A5" s="11"/>
      <c r="B5" s="12">
        <v>1</v>
      </c>
      <c r="C5" s="12">
        <v>3936</v>
      </c>
      <c r="D5" s="12" t="s">
        <v>1</v>
      </c>
      <c r="E5" s="12" t="s">
        <v>2</v>
      </c>
      <c r="F5" s="13">
        <v>14.46</v>
      </c>
      <c r="G5" s="12"/>
      <c r="H5" s="14" t="s">
        <v>3</v>
      </c>
      <c r="I5" s="15">
        <v>70</v>
      </c>
      <c r="J5" s="21">
        <v>0.9196</v>
      </c>
      <c r="K5" s="22">
        <f t="shared" si="0"/>
        <v>13.302416000000001</v>
      </c>
      <c r="L5" s="36">
        <v>750</v>
      </c>
    </row>
    <row r="6" spans="1:12" ht="12.75">
      <c r="A6" s="11"/>
      <c r="B6" s="12">
        <v>2</v>
      </c>
      <c r="C6" s="12">
        <v>3591</v>
      </c>
      <c r="D6" s="12" t="s">
        <v>4</v>
      </c>
      <c r="E6" s="12" t="s">
        <v>5</v>
      </c>
      <c r="F6" s="13">
        <v>15.67</v>
      </c>
      <c r="G6" s="12"/>
      <c r="H6" s="14" t="s">
        <v>3</v>
      </c>
      <c r="I6" s="15">
        <v>69</v>
      </c>
      <c r="J6" s="21">
        <v>0.9196</v>
      </c>
      <c r="K6" s="22">
        <f t="shared" si="0"/>
        <v>14.415132</v>
      </c>
      <c r="L6" s="36">
        <v>569</v>
      </c>
    </row>
    <row r="7" spans="1:12" ht="12.75">
      <c r="A7" s="11"/>
      <c r="B7" s="12">
        <v>5</v>
      </c>
      <c r="C7" s="12">
        <v>3814</v>
      </c>
      <c r="D7" s="12" t="s">
        <v>12</v>
      </c>
      <c r="E7" s="12" t="s">
        <v>10</v>
      </c>
      <c r="F7" s="13">
        <v>17.33</v>
      </c>
      <c r="G7" s="12"/>
      <c r="H7" s="14" t="s">
        <v>13</v>
      </c>
      <c r="I7" s="15">
        <v>58</v>
      </c>
      <c r="J7" s="21">
        <v>0.8492</v>
      </c>
      <c r="K7" s="22">
        <f t="shared" si="0"/>
        <v>14.721635999999998</v>
      </c>
      <c r="L7" s="36">
        <v>525</v>
      </c>
    </row>
    <row r="8" spans="1:12" ht="12.75">
      <c r="A8" s="11"/>
      <c r="B8" s="12">
        <v>4</v>
      </c>
      <c r="C8" s="12">
        <v>3643</v>
      </c>
      <c r="D8" s="12" t="s">
        <v>9</v>
      </c>
      <c r="E8" s="12" t="s">
        <v>10</v>
      </c>
      <c r="F8" s="13">
        <v>16.82</v>
      </c>
      <c r="G8" s="12"/>
      <c r="H8" s="14" t="s">
        <v>11</v>
      </c>
      <c r="I8" s="15">
        <v>65</v>
      </c>
      <c r="J8" s="21">
        <v>0.8844</v>
      </c>
      <c r="K8" s="22">
        <f t="shared" si="0"/>
        <v>14.880608</v>
      </c>
      <c r="L8" s="36">
        <v>502</v>
      </c>
    </row>
    <row r="9" spans="1:12" ht="12.75">
      <c r="A9" s="11"/>
      <c r="B9" s="12">
        <v>6</v>
      </c>
      <c r="C9" s="12">
        <v>3724</v>
      </c>
      <c r="D9" s="12" t="s">
        <v>14</v>
      </c>
      <c r="E9" s="12" t="s">
        <v>15</v>
      </c>
      <c r="F9" s="13">
        <v>17.88</v>
      </c>
      <c r="G9" s="12"/>
      <c r="H9" s="14" t="s">
        <v>11</v>
      </c>
      <c r="I9" s="15">
        <v>64</v>
      </c>
      <c r="J9" s="21">
        <v>0.8844</v>
      </c>
      <c r="K9" s="22">
        <f t="shared" si="0"/>
        <v>15.818071999999999</v>
      </c>
      <c r="L9" s="36">
        <v>378</v>
      </c>
    </row>
    <row r="10" spans="1:12" ht="12.75">
      <c r="A10" s="11"/>
      <c r="B10" s="12">
        <v>7</v>
      </c>
      <c r="C10" s="12">
        <v>3644</v>
      </c>
      <c r="D10" s="12" t="s">
        <v>16</v>
      </c>
      <c r="E10" s="12" t="s">
        <v>10</v>
      </c>
      <c r="F10" s="16">
        <v>18.5</v>
      </c>
      <c r="G10" s="12"/>
      <c r="H10" s="14" t="s">
        <v>3</v>
      </c>
      <c r="I10" s="15">
        <v>70</v>
      </c>
      <c r="J10" s="21">
        <v>0.9196</v>
      </c>
      <c r="K10" s="22">
        <f t="shared" si="0"/>
        <v>17.017599999999998</v>
      </c>
      <c r="L10" s="36">
        <v>246</v>
      </c>
    </row>
    <row r="11" spans="1:12" ht="12.75">
      <c r="A11" s="11" t="s">
        <v>17</v>
      </c>
      <c r="B11" s="12"/>
      <c r="C11" s="12"/>
      <c r="D11" s="12"/>
      <c r="E11" s="12"/>
      <c r="F11" s="13"/>
      <c r="G11" s="12"/>
      <c r="H11" s="14"/>
      <c r="I11" s="15"/>
      <c r="J11" s="21"/>
      <c r="K11" s="21"/>
      <c r="L11" s="37"/>
    </row>
    <row r="12" spans="1:12" ht="12.75">
      <c r="A12" s="11"/>
      <c r="B12" s="12">
        <v>1</v>
      </c>
      <c r="C12" s="12">
        <v>9905</v>
      </c>
      <c r="D12" s="12" t="s">
        <v>18</v>
      </c>
      <c r="E12" s="12" t="s">
        <v>19</v>
      </c>
      <c r="F12" s="13">
        <v>14.07</v>
      </c>
      <c r="G12" s="12"/>
      <c r="H12" s="14" t="s">
        <v>3</v>
      </c>
      <c r="I12" s="15">
        <v>70</v>
      </c>
      <c r="J12" s="21">
        <v>0.9196</v>
      </c>
      <c r="K12" s="22">
        <f aca="true" t="shared" si="1" ref="K12:K18">F12*J12+0.005</f>
        <v>12.943772000000001</v>
      </c>
      <c r="L12" s="37">
        <v>814</v>
      </c>
    </row>
    <row r="13" spans="1:12" ht="12.75">
      <c r="A13" s="11"/>
      <c r="B13" s="12">
        <v>7</v>
      </c>
      <c r="C13" s="12">
        <v>3638</v>
      </c>
      <c r="D13" s="12" t="s">
        <v>28</v>
      </c>
      <c r="E13" s="12" t="s">
        <v>29</v>
      </c>
      <c r="F13" s="13">
        <v>15.84</v>
      </c>
      <c r="G13" s="12"/>
      <c r="H13" s="14" t="s">
        <v>13</v>
      </c>
      <c r="I13" s="15">
        <v>55</v>
      </c>
      <c r="J13" s="21">
        <v>0.8492</v>
      </c>
      <c r="K13" s="22">
        <f t="shared" si="1"/>
        <v>13.456328</v>
      </c>
      <c r="L13" s="37">
        <v>723</v>
      </c>
    </row>
    <row r="14" spans="1:12" ht="12.75">
      <c r="A14" s="11"/>
      <c r="B14" s="12">
        <v>3</v>
      </c>
      <c r="C14" s="12">
        <v>3700</v>
      </c>
      <c r="D14" s="12" t="s">
        <v>21</v>
      </c>
      <c r="E14" s="12" t="s">
        <v>22</v>
      </c>
      <c r="F14" s="16">
        <v>14.3</v>
      </c>
      <c r="G14" s="12"/>
      <c r="H14" s="14" t="s">
        <v>23</v>
      </c>
      <c r="I14" s="15">
        <v>71</v>
      </c>
      <c r="J14" s="21">
        <v>0.9548</v>
      </c>
      <c r="K14" s="22">
        <f t="shared" si="1"/>
        <v>13.658640000000002</v>
      </c>
      <c r="L14" s="37">
        <v>689</v>
      </c>
    </row>
    <row r="15" spans="1:12" ht="12.75">
      <c r="A15" s="11"/>
      <c r="B15" s="12">
        <v>2</v>
      </c>
      <c r="C15" s="12">
        <v>9906</v>
      </c>
      <c r="D15" s="12" t="s">
        <v>20</v>
      </c>
      <c r="E15" s="12" t="s">
        <v>19</v>
      </c>
      <c r="F15" s="13">
        <v>14.15</v>
      </c>
      <c r="G15" s="12"/>
      <c r="H15" s="14" t="s">
        <v>25</v>
      </c>
      <c r="I15" s="15">
        <v>80</v>
      </c>
      <c r="J15" s="24">
        <v>0.99</v>
      </c>
      <c r="K15" s="22">
        <f t="shared" si="1"/>
        <v>14.0135</v>
      </c>
      <c r="L15" s="37">
        <v>633</v>
      </c>
    </row>
    <row r="16" spans="1:12" ht="12.75">
      <c r="A16" s="11"/>
      <c r="B16" s="12">
        <v>4</v>
      </c>
      <c r="C16" s="12">
        <v>4086</v>
      </c>
      <c r="D16" s="12" t="s">
        <v>24</v>
      </c>
      <c r="E16" s="12" t="s">
        <v>10</v>
      </c>
      <c r="F16" s="13">
        <v>14.43</v>
      </c>
      <c r="G16" s="12"/>
      <c r="H16" s="14" t="s">
        <v>25</v>
      </c>
      <c r="I16" s="15">
        <v>78</v>
      </c>
      <c r="J16" s="24">
        <v>0.99</v>
      </c>
      <c r="K16" s="22">
        <f t="shared" si="1"/>
        <v>14.290700000000001</v>
      </c>
      <c r="L16" s="37">
        <v>589</v>
      </c>
    </row>
    <row r="17" spans="1:12" ht="12.75">
      <c r="A17" s="11"/>
      <c r="B17" s="12">
        <v>5</v>
      </c>
      <c r="C17" s="12">
        <v>3492</v>
      </c>
      <c r="D17" s="12" t="s">
        <v>26</v>
      </c>
      <c r="E17" s="12" t="s">
        <v>15</v>
      </c>
      <c r="F17" s="13">
        <v>14.85</v>
      </c>
      <c r="G17" s="12"/>
      <c r="H17" s="14" t="s">
        <v>25</v>
      </c>
      <c r="I17" s="15">
        <v>75</v>
      </c>
      <c r="J17" s="24">
        <v>0.99</v>
      </c>
      <c r="K17" s="22">
        <f t="shared" si="1"/>
        <v>14.7065</v>
      </c>
      <c r="L17" s="37">
        <v>527</v>
      </c>
    </row>
    <row r="18" spans="1:12" ht="12.75">
      <c r="A18" s="11"/>
      <c r="B18" s="12">
        <v>6</v>
      </c>
      <c r="C18" s="12">
        <v>3585</v>
      </c>
      <c r="D18" s="12" t="s">
        <v>27</v>
      </c>
      <c r="E18" s="12" t="s">
        <v>5</v>
      </c>
      <c r="F18" s="13">
        <v>15.48</v>
      </c>
      <c r="G18" s="12"/>
      <c r="H18" s="14" t="s">
        <v>23</v>
      </c>
      <c r="I18" s="15">
        <v>71</v>
      </c>
      <c r="J18" s="21">
        <v>0.9548</v>
      </c>
      <c r="K18" s="22">
        <f t="shared" si="1"/>
        <v>14.785304000000002</v>
      </c>
      <c r="L18" s="37">
        <v>515</v>
      </c>
    </row>
    <row r="19" spans="1:12" ht="12.75">
      <c r="A19" s="11"/>
      <c r="B19" s="12"/>
      <c r="C19" s="12"/>
      <c r="D19" s="12"/>
      <c r="E19" s="12"/>
      <c r="F19" s="13"/>
      <c r="G19" s="12"/>
      <c r="H19" s="14"/>
      <c r="I19" s="15"/>
      <c r="J19" s="21"/>
      <c r="K19" s="21"/>
      <c r="L19" s="37"/>
    </row>
    <row r="20" spans="1:12" ht="12.75">
      <c r="A20" s="11" t="s">
        <v>360</v>
      </c>
      <c r="B20" s="12"/>
      <c r="C20" s="12"/>
      <c r="D20" s="12"/>
      <c r="E20" s="12"/>
      <c r="F20" s="13"/>
      <c r="G20" s="12"/>
      <c r="H20" s="14"/>
      <c r="I20" s="15"/>
      <c r="J20" s="21"/>
      <c r="K20" s="21"/>
      <c r="L20" s="37"/>
    </row>
    <row r="21" spans="1:15" ht="12.75">
      <c r="A21" s="11"/>
      <c r="B21" s="12"/>
      <c r="C21" s="12">
        <v>3179</v>
      </c>
      <c r="D21" s="12" t="s">
        <v>46</v>
      </c>
      <c r="E21" s="12" t="s">
        <v>35</v>
      </c>
      <c r="F21" s="13" t="s">
        <v>47</v>
      </c>
      <c r="G21" s="12"/>
      <c r="H21" s="14" t="s">
        <v>3</v>
      </c>
      <c r="I21" s="15">
        <v>68</v>
      </c>
      <c r="J21" s="21">
        <v>0.9123</v>
      </c>
      <c r="K21" s="27"/>
      <c r="L21" s="37"/>
      <c r="M21" s="5">
        <f aca="true" t="shared" si="2" ref="M21:M27">G21*J21</f>
        <v>0</v>
      </c>
      <c r="N21">
        <f aca="true" t="shared" si="3" ref="N21:N27">INT(M21/60)</f>
        <v>0</v>
      </c>
      <c r="O21" s="5">
        <f aca="true" t="shared" si="4" ref="O21:O27">M21-(N21*60)</f>
        <v>0</v>
      </c>
    </row>
    <row r="22" spans="1:15" ht="12.75">
      <c r="A22" s="11"/>
      <c r="B22" s="12">
        <v>1</v>
      </c>
      <c r="C22" s="12">
        <v>3838</v>
      </c>
      <c r="D22" s="12" t="s">
        <v>31</v>
      </c>
      <c r="E22" s="12" t="s">
        <v>32</v>
      </c>
      <c r="F22" s="13" t="s">
        <v>33</v>
      </c>
      <c r="G22" s="12">
        <f>2*60+49.59</f>
        <v>169.59</v>
      </c>
      <c r="H22" s="14" t="s">
        <v>11</v>
      </c>
      <c r="I22" s="15">
        <v>63</v>
      </c>
      <c r="J22" s="21">
        <v>0.8709</v>
      </c>
      <c r="K22" s="27" t="s">
        <v>354</v>
      </c>
      <c r="L22" s="37">
        <v>714</v>
      </c>
      <c r="M22" s="5">
        <f t="shared" si="2"/>
        <v>147.695931</v>
      </c>
      <c r="N22">
        <f t="shared" si="3"/>
        <v>2</v>
      </c>
      <c r="O22" s="5">
        <f t="shared" si="4"/>
        <v>27.695931</v>
      </c>
    </row>
    <row r="23" spans="1:15" ht="12.75">
      <c r="A23" s="11"/>
      <c r="B23" s="12">
        <v>2</v>
      </c>
      <c r="C23" s="12">
        <v>3171</v>
      </c>
      <c r="D23" s="12" t="s">
        <v>34</v>
      </c>
      <c r="E23" s="12" t="s">
        <v>35</v>
      </c>
      <c r="F23" s="13" t="s">
        <v>36</v>
      </c>
      <c r="G23" s="12">
        <f>2*60+59.22</f>
        <v>179.22</v>
      </c>
      <c r="H23" s="14" t="s">
        <v>11</v>
      </c>
      <c r="I23" s="15">
        <v>61</v>
      </c>
      <c r="J23" s="21">
        <v>0.8709</v>
      </c>
      <c r="K23" s="27" t="s">
        <v>355</v>
      </c>
      <c r="L23" s="37">
        <v>601</v>
      </c>
      <c r="M23" s="5">
        <f t="shared" si="2"/>
        <v>156.082698</v>
      </c>
      <c r="N23">
        <f t="shared" si="3"/>
        <v>2</v>
      </c>
      <c r="O23" s="5">
        <f t="shared" si="4"/>
        <v>36.08269799999999</v>
      </c>
    </row>
    <row r="24" spans="1:15" ht="12.75">
      <c r="A24" s="11"/>
      <c r="B24" s="12">
        <v>4</v>
      </c>
      <c r="C24" s="12">
        <v>3461</v>
      </c>
      <c r="D24" s="12" t="s">
        <v>39</v>
      </c>
      <c r="E24" s="12" t="s">
        <v>40</v>
      </c>
      <c r="F24" s="13" t="s">
        <v>41</v>
      </c>
      <c r="G24" s="17">
        <f>3*60+1.9</f>
        <v>181.9</v>
      </c>
      <c r="H24" s="14" t="s">
        <v>3</v>
      </c>
      <c r="I24" s="15">
        <v>67</v>
      </c>
      <c r="J24" s="21">
        <v>0.9123</v>
      </c>
      <c r="K24" s="26" t="s">
        <v>351</v>
      </c>
      <c r="L24" s="37">
        <v>482</v>
      </c>
      <c r="M24" s="5">
        <f t="shared" si="2"/>
        <v>165.94737</v>
      </c>
      <c r="N24">
        <f t="shared" si="3"/>
        <v>2</v>
      </c>
      <c r="O24" s="5">
        <f t="shared" si="4"/>
        <v>45.94737000000001</v>
      </c>
    </row>
    <row r="25" spans="1:15" ht="12.75">
      <c r="A25" s="11"/>
      <c r="B25" s="12">
        <v>5</v>
      </c>
      <c r="C25" s="12">
        <v>3009</v>
      </c>
      <c r="D25" s="12" t="s">
        <v>42</v>
      </c>
      <c r="E25" s="12" t="s">
        <v>29</v>
      </c>
      <c r="F25" s="13" t="s">
        <v>43</v>
      </c>
      <c r="G25" s="12">
        <f>3*60+7.56</f>
        <v>187.56</v>
      </c>
      <c r="H25" s="14" t="s">
        <v>3</v>
      </c>
      <c r="I25" s="15">
        <v>65</v>
      </c>
      <c r="J25" s="21">
        <v>0.9123</v>
      </c>
      <c r="K25" s="27" t="s">
        <v>353</v>
      </c>
      <c r="L25" s="37">
        <v>424</v>
      </c>
      <c r="M25" s="5">
        <f t="shared" si="2"/>
        <v>171.110988</v>
      </c>
      <c r="N25">
        <f t="shared" si="3"/>
        <v>2</v>
      </c>
      <c r="O25" s="5">
        <f t="shared" si="4"/>
        <v>51.11098799999999</v>
      </c>
    </row>
    <row r="26" spans="1:15" ht="12.75">
      <c r="A26" s="11"/>
      <c r="B26" s="12">
        <v>3</v>
      </c>
      <c r="C26" s="12">
        <v>3490</v>
      </c>
      <c r="D26" s="12" t="s">
        <v>37</v>
      </c>
      <c r="E26" s="12" t="s">
        <v>15</v>
      </c>
      <c r="F26" s="13" t="s">
        <v>38</v>
      </c>
      <c r="G26" s="12">
        <f>3*60+1.45</f>
        <v>181.45</v>
      </c>
      <c r="H26" s="14" t="s">
        <v>23</v>
      </c>
      <c r="I26" s="15">
        <v>70</v>
      </c>
      <c r="J26" s="21">
        <v>0.9537</v>
      </c>
      <c r="K26" s="25" t="s">
        <v>352</v>
      </c>
      <c r="L26" s="37">
        <v>404</v>
      </c>
      <c r="M26" s="5">
        <f t="shared" si="2"/>
        <v>173.04886499999998</v>
      </c>
      <c r="N26">
        <f t="shared" si="3"/>
        <v>2</v>
      </c>
      <c r="O26" s="5">
        <f t="shared" si="4"/>
        <v>53.04886499999998</v>
      </c>
    </row>
    <row r="27" spans="1:15" ht="12.75">
      <c r="A27" s="11"/>
      <c r="B27" s="12">
        <v>6</v>
      </c>
      <c r="C27" s="12">
        <v>3310</v>
      </c>
      <c r="D27" s="12" t="s">
        <v>44</v>
      </c>
      <c r="E27" s="12" t="s">
        <v>29</v>
      </c>
      <c r="F27" s="13" t="s">
        <v>45</v>
      </c>
      <c r="G27" s="12">
        <f>3*60+36.64</f>
        <v>216.64</v>
      </c>
      <c r="H27" s="14" t="s">
        <v>13</v>
      </c>
      <c r="I27" s="15">
        <v>58</v>
      </c>
      <c r="J27" s="21">
        <v>0.8295</v>
      </c>
      <c r="K27" s="27" t="s">
        <v>356</v>
      </c>
      <c r="L27" s="37">
        <v>337</v>
      </c>
      <c r="M27" s="5">
        <f t="shared" si="2"/>
        <v>179.70288</v>
      </c>
      <c r="N27">
        <f t="shared" si="3"/>
        <v>2</v>
      </c>
      <c r="O27" s="5">
        <f t="shared" si="4"/>
        <v>59.70287999999999</v>
      </c>
    </row>
    <row r="28" spans="1:12" ht="12.75">
      <c r="A28" s="11"/>
      <c r="B28" s="12"/>
      <c r="C28" s="12"/>
      <c r="D28" s="12"/>
      <c r="E28" s="12"/>
      <c r="F28" s="13"/>
      <c r="G28" s="12"/>
      <c r="H28" s="14"/>
      <c r="I28" s="15"/>
      <c r="J28" s="21"/>
      <c r="K28" s="21"/>
      <c r="L28" s="37"/>
    </row>
    <row r="29" spans="1:12" ht="12.75">
      <c r="A29" s="11" t="s">
        <v>361</v>
      </c>
      <c r="B29" s="12"/>
      <c r="C29" s="12"/>
      <c r="D29" s="12"/>
      <c r="E29" s="12"/>
      <c r="F29" s="13"/>
      <c r="G29" s="12"/>
      <c r="H29" s="14"/>
      <c r="I29" s="15"/>
      <c r="J29" s="21"/>
      <c r="K29" s="21"/>
      <c r="L29" s="37"/>
    </row>
    <row r="30" spans="1:12" ht="12.75">
      <c r="A30" s="11"/>
      <c r="B30" s="12">
        <v>2</v>
      </c>
      <c r="C30" s="12">
        <v>9905</v>
      </c>
      <c r="D30" s="12" t="s">
        <v>18</v>
      </c>
      <c r="E30" s="12" t="s">
        <v>19</v>
      </c>
      <c r="F30" s="13">
        <v>47.25</v>
      </c>
      <c r="G30" s="12"/>
      <c r="H30" s="14" t="s">
        <v>3</v>
      </c>
      <c r="I30" s="15">
        <v>70</v>
      </c>
      <c r="J30" s="21">
        <f>(0.8982+0.8983)/2</f>
        <v>0.89825</v>
      </c>
      <c r="K30" s="22">
        <f aca="true" t="shared" si="5" ref="K30:K35">F30*J30+0.005</f>
        <v>42.4473125</v>
      </c>
      <c r="L30" s="37">
        <v>835</v>
      </c>
    </row>
    <row r="31" spans="1:12" ht="12.75">
      <c r="A31" s="11"/>
      <c r="B31" s="12">
        <v>1</v>
      </c>
      <c r="C31" s="12">
        <v>3788</v>
      </c>
      <c r="D31" s="12" t="s">
        <v>48</v>
      </c>
      <c r="E31" s="12" t="s">
        <v>49</v>
      </c>
      <c r="F31" s="13">
        <v>46.29</v>
      </c>
      <c r="G31" s="12"/>
      <c r="H31" s="14" t="s">
        <v>23</v>
      </c>
      <c r="I31" s="15">
        <v>71</v>
      </c>
      <c r="J31" s="21">
        <f>(0.9342+0.9391)/2</f>
        <v>0.93665</v>
      </c>
      <c r="K31" s="22">
        <f t="shared" si="5"/>
        <v>43.3625285</v>
      </c>
      <c r="L31" s="37">
        <v>792</v>
      </c>
    </row>
    <row r="32" spans="1:12" ht="12.75">
      <c r="A32" s="11"/>
      <c r="B32" s="12">
        <v>3</v>
      </c>
      <c r="C32" s="12">
        <v>3700</v>
      </c>
      <c r="D32" s="12" t="s">
        <v>21</v>
      </c>
      <c r="E32" s="12" t="s">
        <v>22</v>
      </c>
      <c r="F32" s="13">
        <v>51.21</v>
      </c>
      <c r="G32" s="12"/>
      <c r="H32" s="14" t="s">
        <v>23</v>
      </c>
      <c r="I32" s="15">
        <v>71</v>
      </c>
      <c r="J32" s="21">
        <f>(0.9342+0.9391)/2</f>
        <v>0.93665</v>
      </c>
      <c r="K32" s="22">
        <f t="shared" si="5"/>
        <v>47.9708465</v>
      </c>
      <c r="L32" s="37">
        <v>589</v>
      </c>
    </row>
    <row r="33" spans="1:12" ht="12.75">
      <c r="A33" s="11"/>
      <c r="B33" s="12">
        <v>4</v>
      </c>
      <c r="C33" s="12">
        <v>3009</v>
      </c>
      <c r="D33" s="12" t="s">
        <v>42</v>
      </c>
      <c r="E33" s="12" t="s">
        <v>29</v>
      </c>
      <c r="F33" s="13">
        <v>58.83</v>
      </c>
      <c r="G33" s="12"/>
      <c r="H33" s="14" t="s">
        <v>3</v>
      </c>
      <c r="I33" s="15">
        <v>65</v>
      </c>
      <c r="J33" s="21">
        <f>(0.8982+0.8983)/2</f>
        <v>0.89825</v>
      </c>
      <c r="K33" s="22">
        <f t="shared" si="5"/>
        <v>52.8490475</v>
      </c>
      <c r="L33" s="37">
        <v>408</v>
      </c>
    </row>
    <row r="34" spans="1:12" ht="12.75">
      <c r="A34" s="11"/>
      <c r="B34" s="12">
        <v>5</v>
      </c>
      <c r="C34" s="12">
        <v>3644</v>
      </c>
      <c r="D34" s="12" t="s">
        <v>16</v>
      </c>
      <c r="E34" s="12" t="s">
        <v>10</v>
      </c>
      <c r="F34" s="13">
        <v>60.28</v>
      </c>
      <c r="G34" s="12"/>
      <c r="H34" s="14" t="s">
        <v>3</v>
      </c>
      <c r="I34" s="15">
        <v>70</v>
      </c>
      <c r="J34" s="21">
        <f>(0.8982+0.8983)/2</f>
        <v>0.89825</v>
      </c>
      <c r="K34" s="22">
        <f t="shared" si="5"/>
        <v>54.15151</v>
      </c>
      <c r="L34" s="37">
        <v>365</v>
      </c>
    </row>
    <row r="35" spans="1:12" ht="12.75">
      <c r="A35" s="11"/>
      <c r="B35" s="12">
        <v>6</v>
      </c>
      <c r="C35" s="12">
        <v>3310</v>
      </c>
      <c r="D35" s="12" t="s">
        <v>44</v>
      </c>
      <c r="E35" s="12" t="s">
        <v>29</v>
      </c>
      <c r="F35" s="13">
        <v>67.43</v>
      </c>
      <c r="G35" s="12"/>
      <c r="H35" s="14" t="s">
        <v>13</v>
      </c>
      <c r="I35" s="15">
        <v>58</v>
      </c>
      <c r="J35" s="21">
        <f>(0.8262+0.8167)/2</f>
        <v>0.82145</v>
      </c>
      <c r="K35" s="22">
        <f t="shared" si="5"/>
        <v>55.39537350000001</v>
      </c>
      <c r="L35" s="37">
        <v>326</v>
      </c>
    </row>
    <row r="36" spans="1:12" ht="12.75">
      <c r="A36" s="11"/>
      <c r="B36" s="12"/>
      <c r="C36" s="12"/>
      <c r="D36" s="12"/>
      <c r="E36" s="12"/>
      <c r="F36" s="13"/>
      <c r="G36" s="12"/>
      <c r="H36" s="14"/>
      <c r="I36" s="15"/>
      <c r="J36" s="21"/>
      <c r="K36" s="21"/>
      <c r="L36" s="37"/>
    </row>
    <row r="37" spans="1:12" ht="12.75">
      <c r="A37" s="11" t="s">
        <v>362</v>
      </c>
      <c r="B37" s="12"/>
      <c r="C37" s="12"/>
      <c r="D37" s="12"/>
      <c r="E37" s="12"/>
      <c r="F37" s="13"/>
      <c r="G37" s="12"/>
      <c r="H37" s="14"/>
      <c r="I37" s="15"/>
      <c r="J37" s="21"/>
      <c r="K37" s="21"/>
      <c r="L37" s="37"/>
    </row>
    <row r="38" spans="1:15" ht="12.75">
      <c r="A38" s="11"/>
      <c r="B38" s="12">
        <v>6</v>
      </c>
      <c r="C38" s="12">
        <v>3724</v>
      </c>
      <c r="D38" s="12" t="s">
        <v>14</v>
      </c>
      <c r="E38" s="12" t="s">
        <v>15</v>
      </c>
      <c r="F38" s="13" t="s">
        <v>62</v>
      </c>
      <c r="G38" s="12">
        <f>7*60+51.31</f>
        <v>471.31</v>
      </c>
      <c r="H38" s="14" t="s">
        <v>11</v>
      </c>
      <c r="I38" s="15">
        <v>64</v>
      </c>
      <c r="J38" s="21">
        <f>(0.8627+0.8716)/2</f>
        <v>0.8671500000000001</v>
      </c>
      <c r="K38" s="21" t="s">
        <v>371</v>
      </c>
      <c r="L38" s="37">
        <v>788</v>
      </c>
      <c r="M38" s="5">
        <f aca="true" t="shared" si="6" ref="M38:M47">G38*J38</f>
        <v>408.69646650000004</v>
      </c>
      <c r="N38">
        <f aca="true" t="shared" si="7" ref="N38:N47">INT(M38/60)</f>
        <v>6</v>
      </c>
      <c r="O38" s="5">
        <f aca="true" t="shared" si="8" ref="O38:O47">M38-(N38*60)</f>
        <v>48.69646650000004</v>
      </c>
    </row>
    <row r="39" spans="1:15" ht="12.75">
      <c r="A39" s="11"/>
      <c r="B39" s="12">
        <v>8</v>
      </c>
      <c r="C39" s="12">
        <v>3183</v>
      </c>
      <c r="D39" s="12" t="s">
        <v>65</v>
      </c>
      <c r="E39" s="12" t="s">
        <v>35</v>
      </c>
      <c r="F39" s="13" t="s">
        <v>66</v>
      </c>
      <c r="G39" s="12">
        <f>7*60+56.85</f>
        <v>476.85</v>
      </c>
      <c r="H39" s="14" t="s">
        <v>11</v>
      </c>
      <c r="I39" s="15">
        <v>64</v>
      </c>
      <c r="J39" s="21">
        <f>(0.8627+0.8716)/2</f>
        <v>0.8671500000000001</v>
      </c>
      <c r="K39" s="21" t="s">
        <v>372</v>
      </c>
      <c r="L39" s="37">
        <v>766</v>
      </c>
      <c r="M39" s="5">
        <f t="shared" si="6"/>
        <v>413.50047750000004</v>
      </c>
      <c r="N39">
        <f t="shared" si="7"/>
        <v>6</v>
      </c>
      <c r="O39" s="5">
        <f t="shared" si="8"/>
        <v>53.500477500000045</v>
      </c>
    </row>
    <row r="40" spans="1:15" ht="12.75">
      <c r="A40" s="11"/>
      <c r="B40" s="12">
        <v>1</v>
      </c>
      <c r="C40" s="12">
        <v>3527</v>
      </c>
      <c r="D40" s="12" t="s">
        <v>50</v>
      </c>
      <c r="E40" s="12" t="s">
        <v>40</v>
      </c>
      <c r="F40" s="13" t="s">
        <v>51</v>
      </c>
      <c r="G40" s="12">
        <f>7*60+17.69</f>
        <v>437.69</v>
      </c>
      <c r="H40" s="14" t="s">
        <v>23</v>
      </c>
      <c r="I40" s="15">
        <v>71</v>
      </c>
      <c r="J40" s="21">
        <f>(0.9457+0.9572)/2</f>
        <v>0.95145</v>
      </c>
      <c r="K40" s="21" t="s">
        <v>358</v>
      </c>
      <c r="L40" s="37">
        <v>752</v>
      </c>
      <c r="M40" s="5">
        <f t="shared" si="6"/>
        <v>416.4401505</v>
      </c>
      <c r="N40">
        <f t="shared" si="7"/>
        <v>6</v>
      </c>
      <c r="O40" s="5">
        <f t="shared" si="8"/>
        <v>56.440150500000016</v>
      </c>
    </row>
    <row r="41" spans="1:15" ht="12.75">
      <c r="A41" s="11"/>
      <c r="B41" s="12">
        <v>2</v>
      </c>
      <c r="C41" s="12">
        <v>3125</v>
      </c>
      <c r="D41" s="12" t="s">
        <v>52</v>
      </c>
      <c r="E41" s="12" t="s">
        <v>53</v>
      </c>
      <c r="F41" s="13" t="s">
        <v>54</v>
      </c>
      <c r="G41" s="12">
        <f>7*60+17.99</f>
        <v>437.99</v>
      </c>
      <c r="H41" s="14" t="s">
        <v>23</v>
      </c>
      <c r="I41" s="15">
        <v>72</v>
      </c>
      <c r="J41" s="21">
        <f>(0.9457+0.9572)/2</f>
        <v>0.95145</v>
      </c>
      <c r="K41" s="21" t="s">
        <v>365</v>
      </c>
      <c r="L41" s="37">
        <v>751</v>
      </c>
      <c r="M41" s="5">
        <f t="shared" si="6"/>
        <v>416.7255855</v>
      </c>
      <c r="N41">
        <f t="shared" si="7"/>
        <v>6</v>
      </c>
      <c r="O41" s="5">
        <f t="shared" si="8"/>
        <v>56.72558550000002</v>
      </c>
    </row>
    <row r="42" spans="1:15" ht="12.75">
      <c r="A42" s="11"/>
      <c r="B42" s="12">
        <v>5</v>
      </c>
      <c r="C42" s="12">
        <v>3057</v>
      </c>
      <c r="D42" s="12" t="s">
        <v>60</v>
      </c>
      <c r="E42" s="12" t="s">
        <v>32</v>
      </c>
      <c r="F42" s="13" t="s">
        <v>61</v>
      </c>
      <c r="G42" s="12">
        <f>7*60+51.07</f>
        <v>471.07</v>
      </c>
      <c r="H42" s="14" t="s">
        <v>3</v>
      </c>
      <c r="I42" s="15">
        <v>67</v>
      </c>
      <c r="J42" s="28">
        <f>(0.9042+0.9144)/2</f>
        <v>0.9093</v>
      </c>
      <c r="K42" s="21" t="s">
        <v>369</v>
      </c>
      <c r="L42" s="37">
        <v>700</v>
      </c>
      <c r="M42" s="5">
        <f t="shared" si="6"/>
        <v>428.343951</v>
      </c>
      <c r="N42">
        <f t="shared" si="7"/>
        <v>7</v>
      </c>
      <c r="O42" s="5">
        <f t="shared" si="8"/>
        <v>8.343951000000004</v>
      </c>
    </row>
    <row r="43" spans="1:15" ht="12.75">
      <c r="A43" s="11"/>
      <c r="B43" s="12">
        <v>10</v>
      </c>
      <c r="C43" s="12">
        <v>3584</v>
      </c>
      <c r="D43" s="12" t="s">
        <v>69</v>
      </c>
      <c r="E43" s="12" t="s">
        <v>5</v>
      </c>
      <c r="F43" s="13" t="s">
        <v>70</v>
      </c>
      <c r="G43" s="12">
        <f>8*60+24.29</f>
        <v>504.29</v>
      </c>
      <c r="H43" s="14" t="s">
        <v>11</v>
      </c>
      <c r="I43" s="15">
        <v>62</v>
      </c>
      <c r="J43" s="21">
        <f>(0.8627+0.8716)/2</f>
        <v>0.8671500000000001</v>
      </c>
      <c r="K43" s="21" t="s">
        <v>373</v>
      </c>
      <c r="L43" s="37">
        <v>661</v>
      </c>
      <c r="M43" s="5">
        <f t="shared" si="6"/>
        <v>437.29507350000006</v>
      </c>
      <c r="N43">
        <f t="shared" si="7"/>
        <v>7</v>
      </c>
      <c r="O43" s="5">
        <f t="shared" si="8"/>
        <v>17.295073500000058</v>
      </c>
    </row>
    <row r="44" spans="1:15" ht="12.75">
      <c r="A44" s="11"/>
      <c r="B44" s="12">
        <v>3</v>
      </c>
      <c r="C44" s="12">
        <v>3230</v>
      </c>
      <c r="D44" s="12" t="s">
        <v>55</v>
      </c>
      <c r="E44" s="12" t="s">
        <v>53</v>
      </c>
      <c r="F44" s="13" t="s">
        <v>56</v>
      </c>
      <c r="G44" s="12">
        <f>7*60+41.63</f>
        <v>461.63</v>
      </c>
      <c r="H44" s="14" t="s">
        <v>23</v>
      </c>
      <c r="I44" s="15">
        <v>72</v>
      </c>
      <c r="J44" s="21">
        <f>(0.9457+0.9572)/2</f>
        <v>0.95145</v>
      </c>
      <c r="K44" s="21" t="s">
        <v>366</v>
      </c>
      <c r="L44" s="37">
        <v>653</v>
      </c>
      <c r="M44" s="5">
        <f t="shared" si="6"/>
        <v>439.2178635</v>
      </c>
      <c r="N44">
        <f t="shared" si="7"/>
        <v>7</v>
      </c>
      <c r="O44" s="5">
        <f t="shared" si="8"/>
        <v>19.21786350000002</v>
      </c>
    </row>
    <row r="45" spans="1:15" ht="12.75">
      <c r="A45" s="11"/>
      <c r="B45" s="12">
        <v>4</v>
      </c>
      <c r="C45" s="12">
        <v>4092</v>
      </c>
      <c r="D45" s="12" t="s">
        <v>57</v>
      </c>
      <c r="E45" s="12" t="s">
        <v>58</v>
      </c>
      <c r="F45" s="13" t="s">
        <v>59</v>
      </c>
      <c r="G45" s="12">
        <f>7*60+48.97</f>
        <v>468.97</v>
      </c>
      <c r="H45" s="14" t="s">
        <v>23</v>
      </c>
      <c r="I45" s="15">
        <v>72</v>
      </c>
      <c r="J45" s="21">
        <f>(0.9457+0.9572)/2</f>
        <v>0.95145</v>
      </c>
      <c r="K45" s="21" t="s">
        <v>367</v>
      </c>
      <c r="L45" s="37">
        <v>624</v>
      </c>
      <c r="M45" s="5">
        <f t="shared" si="6"/>
        <v>446.20150650000005</v>
      </c>
      <c r="N45">
        <f t="shared" si="7"/>
        <v>7</v>
      </c>
      <c r="O45" s="5">
        <f t="shared" si="8"/>
        <v>26.20150650000005</v>
      </c>
    </row>
    <row r="46" spans="1:15" ht="12.75">
      <c r="A46" s="11"/>
      <c r="B46" s="12">
        <v>7</v>
      </c>
      <c r="C46" s="12">
        <v>3588</v>
      </c>
      <c r="D46" s="12" t="s">
        <v>63</v>
      </c>
      <c r="E46" s="12" t="s">
        <v>5</v>
      </c>
      <c r="F46" s="13" t="s">
        <v>64</v>
      </c>
      <c r="G46" s="12">
        <f>7*60+53.35</f>
        <v>473.35</v>
      </c>
      <c r="H46" s="14" t="s">
        <v>23</v>
      </c>
      <c r="I46" s="15">
        <v>73</v>
      </c>
      <c r="J46" s="21">
        <f>(0.9457+0.9572)/2</f>
        <v>0.95145</v>
      </c>
      <c r="K46" s="21" t="s">
        <v>368</v>
      </c>
      <c r="L46" s="37">
        <v>607</v>
      </c>
      <c r="M46" s="5">
        <f t="shared" si="6"/>
        <v>450.36885750000005</v>
      </c>
      <c r="N46">
        <f t="shared" si="7"/>
        <v>7</v>
      </c>
      <c r="O46" s="5">
        <f t="shared" si="8"/>
        <v>30.368857500000047</v>
      </c>
    </row>
    <row r="47" spans="1:15" ht="12.75">
      <c r="A47" s="11"/>
      <c r="B47" s="12">
        <v>9</v>
      </c>
      <c r="C47" s="12">
        <v>3970</v>
      </c>
      <c r="D47" s="12" t="s">
        <v>67</v>
      </c>
      <c r="E47" s="12" t="s">
        <v>5</v>
      </c>
      <c r="F47" s="13" t="s">
        <v>68</v>
      </c>
      <c r="G47" s="12">
        <f>8*60+16.2</f>
        <v>496.2</v>
      </c>
      <c r="H47" s="14" t="s">
        <v>3</v>
      </c>
      <c r="I47" s="15">
        <v>69</v>
      </c>
      <c r="J47" s="28">
        <f>(0.9042+0.9144)/2</f>
        <v>0.9093</v>
      </c>
      <c r="K47" s="21" t="s">
        <v>370</v>
      </c>
      <c r="L47" s="37">
        <v>604</v>
      </c>
      <c r="M47" s="5">
        <f t="shared" si="6"/>
        <v>451.19466</v>
      </c>
      <c r="N47">
        <f t="shared" si="7"/>
        <v>7</v>
      </c>
      <c r="O47" s="5">
        <f t="shared" si="8"/>
        <v>31.19466</v>
      </c>
    </row>
    <row r="48" spans="1:12" ht="12.75">
      <c r="A48" s="11"/>
      <c r="B48" s="12"/>
      <c r="C48" s="12"/>
      <c r="D48" s="12"/>
      <c r="E48" s="12"/>
      <c r="F48" s="13"/>
      <c r="G48" s="12"/>
      <c r="H48" s="14"/>
      <c r="I48" s="15"/>
      <c r="J48" s="21"/>
      <c r="K48" s="21"/>
      <c r="L48" s="37"/>
    </row>
    <row r="49" spans="1:12" ht="12.75">
      <c r="A49" s="11" t="s">
        <v>363</v>
      </c>
      <c r="B49" s="12"/>
      <c r="C49" s="12"/>
      <c r="D49" s="12"/>
      <c r="E49" s="12"/>
      <c r="F49" s="13"/>
      <c r="G49" s="12"/>
      <c r="H49" s="14"/>
      <c r="I49" s="15"/>
      <c r="J49" s="21"/>
      <c r="K49" s="21"/>
      <c r="L49" s="37"/>
    </row>
    <row r="50" spans="1:16" ht="12.75">
      <c r="A50" s="11"/>
      <c r="B50" s="12">
        <v>2</v>
      </c>
      <c r="C50" s="12">
        <v>4072</v>
      </c>
      <c r="D50" s="12" t="s">
        <v>74</v>
      </c>
      <c r="E50" s="12" t="s">
        <v>72</v>
      </c>
      <c r="F50" s="13" t="s">
        <v>75</v>
      </c>
      <c r="G50" s="17">
        <v>25.8</v>
      </c>
      <c r="H50" s="14" t="s">
        <v>11</v>
      </c>
      <c r="I50" s="15">
        <v>63</v>
      </c>
      <c r="J50" s="24">
        <f>1+0.3128</f>
        <v>1.3128</v>
      </c>
      <c r="K50" s="22">
        <f aca="true" t="shared" si="9" ref="K50:K55">G50*J50-0.005</f>
        <v>33.86524</v>
      </c>
      <c r="L50" s="37">
        <v>593</v>
      </c>
      <c r="P50" s="4"/>
    </row>
    <row r="51" spans="1:13" ht="12.75">
      <c r="A51" s="11"/>
      <c r="B51" s="12">
        <v>1</v>
      </c>
      <c r="C51" s="12">
        <v>4000</v>
      </c>
      <c r="D51" s="12" t="s">
        <v>71</v>
      </c>
      <c r="E51" s="12" t="s">
        <v>72</v>
      </c>
      <c r="F51" s="13" t="s">
        <v>73</v>
      </c>
      <c r="G51" s="17">
        <v>27.74</v>
      </c>
      <c r="H51" s="14" t="s">
        <v>3</v>
      </c>
      <c r="I51" s="15">
        <v>66</v>
      </c>
      <c r="J51" s="24">
        <f>1+0.2058</f>
        <v>1.2058</v>
      </c>
      <c r="K51" s="22">
        <f t="shared" si="9"/>
        <v>33.443892</v>
      </c>
      <c r="L51" s="37">
        <v>585</v>
      </c>
      <c r="M51" s="4"/>
    </row>
    <row r="52" spans="1:12" ht="12.75">
      <c r="A52" s="11"/>
      <c r="B52" s="12">
        <v>3</v>
      </c>
      <c r="C52" s="12">
        <v>3915</v>
      </c>
      <c r="D52" s="12" t="s">
        <v>76</v>
      </c>
      <c r="E52" s="12" t="s">
        <v>32</v>
      </c>
      <c r="F52" s="13" t="s">
        <v>77</v>
      </c>
      <c r="G52" s="17">
        <v>22.41</v>
      </c>
      <c r="H52" s="14" t="s">
        <v>11</v>
      </c>
      <c r="I52" s="15">
        <v>64</v>
      </c>
      <c r="J52" s="24">
        <f>1+0.3128</f>
        <v>1.3128</v>
      </c>
      <c r="K52" s="22">
        <f t="shared" si="9"/>
        <v>29.414848</v>
      </c>
      <c r="L52" s="37">
        <v>512</v>
      </c>
    </row>
    <row r="53" spans="1:12" ht="12.75">
      <c r="A53" s="11"/>
      <c r="B53" s="12">
        <v>4</v>
      </c>
      <c r="C53" s="12">
        <v>3052</v>
      </c>
      <c r="D53" s="12" t="s">
        <v>78</v>
      </c>
      <c r="E53" s="12" t="s">
        <v>32</v>
      </c>
      <c r="F53" s="13" t="s">
        <v>79</v>
      </c>
      <c r="G53" s="17">
        <v>22.39</v>
      </c>
      <c r="H53" s="14" t="s">
        <v>25</v>
      </c>
      <c r="I53" s="15">
        <v>79</v>
      </c>
      <c r="J53" s="29">
        <f>1+0.0368</f>
        <v>1.0368</v>
      </c>
      <c r="K53" s="22">
        <f t="shared" si="9"/>
        <v>23.208952</v>
      </c>
      <c r="L53" s="37">
        <v>399</v>
      </c>
    </row>
    <row r="54" spans="1:12" ht="12.75">
      <c r="A54" s="11"/>
      <c r="B54" s="12">
        <v>5</v>
      </c>
      <c r="C54" s="12">
        <v>3134</v>
      </c>
      <c r="D54" s="12" t="s">
        <v>80</v>
      </c>
      <c r="E54" s="12" t="s">
        <v>81</v>
      </c>
      <c r="F54" s="13" t="s">
        <v>82</v>
      </c>
      <c r="G54" s="17">
        <v>18.9</v>
      </c>
      <c r="H54" s="14" t="s">
        <v>23</v>
      </c>
      <c r="I54" s="15">
        <v>72</v>
      </c>
      <c r="J54" s="30">
        <f>1+0.115</f>
        <v>1.115</v>
      </c>
      <c r="K54" s="22">
        <f t="shared" si="9"/>
        <v>21.0685</v>
      </c>
      <c r="L54" s="37">
        <v>360</v>
      </c>
    </row>
    <row r="55" spans="1:12" ht="12.75">
      <c r="A55" s="11"/>
      <c r="B55" s="12">
        <v>6</v>
      </c>
      <c r="C55" s="12">
        <v>3074</v>
      </c>
      <c r="D55" s="12" t="s">
        <v>83</v>
      </c>
      <c r="E55" s="12" t="s">
        <v>32</v>
      </c>
      <c r="F55" s="13" t="s">
        <v>84</v>
      </c>
      <c r="G55" s="17">
        <v>14.63</v>
      </c>
      <c r="H55" s="14" t="s">
        <v>23</v>
      </c>
      <c r="I55" s="15">
        <v>74</v>
      </c>
      <c r="J55" s="30">
        <f>1+0.115</f>
        <v>1.115</v>
      </c>
      <c r="K55" s="22">
        <f t="shared" si="9"/>
        <v>16.307450000000003</v>
      </c>
      <c r="L55" s="37">
        <v>274</v>
      </c>
    </row>
    <row r="56" spans="1:12" ht="12.75">
      <c r="A56" s="11"/>
      <c r="B56" s="12"/>
      <c r="C56" s="12"/>
      <c r="D56" s="12"/>
      <c r="E56" s="12"/>
      <c r="F56" s="13"/>
      <c r="G56" s="12"/>
      <c r="H56" s="14"/>
      <c r="I56" s="15"/>
      <c r="J56" s="30"/>
      <c r="K56" s="21"/>
      <c r="L56" s="37"/>
    </row>
    <row r="57" spans="1:12" ht="12.75">
      <c r="A57" s="11" t="s">
        <v>364</v>
      </c>
      <c r="B57" s="12"/>
      <c r="C57" s="12"/>
      <c r="D57" s="12"/>
      <c r="E57" s="12"/>
      <c r="F57" s="13"/>
      <c r="G57" s="12"/>
      <c r="H57" s="14"/>
      <c r="I57" s="15"/>
      <c r="J57" s="30"/>
      <c r="K57" s="21"/>
      <c r="L57" s="37"/>
    </row>
    <row r="58" spans="1:12" ht="12.75">
      <c r="A58" s="11"/>
      <c r="B58" s="12">
        <v>1</v>
      </c>
      <c r="C58" s="12">
        <v>3238</v>
      </c>
      <c r="D58" s="12" t="s">
        <v>85</v>
      </c>
      <c r="E58" s="12" t="s">
        <v>5</v>
      </c>
      <c r="F58" s="13" t="s">
        <v>86</v>
      </c>
      <c r="G58" s="12">
        <v>18.64</v>
      </c>
      <c r="H58" s="14" t="s">
        <v>87</v>
      </c>
      <c r="I58" s="15">
        <v>29</v>
      </c>
      <c r="J58" s="30">
        <f>3+0.0404</f>
        <v>3.0404</v>
      </c>
      <c r="K58" s="22">
        <f>G58*J58-0.005</f>
        <v>56.668056</v>
      </c>
      <c r="L58" s="37">
        <v>1010</v>
      </c>
    </row>
    <row r="59" spans="1:12" ht="12.75">
      <c r="A59" s="11"/>
      <c r="B59" s="12"/>
      <c r="C59" s="12"/>
      <c r="D59" s="12"/>
      <c r="E59" s="12"/>
      <c r="F59" s="13"/>
      <c r="G59" s="12"/>
      <c r="H59" s="14"/>
      <c r="I59" s="15"/>
      <c r="J59" s="21"/>
      <c r="K59" s="21"/>
      <c r="L59" s="37"/>
    </row>
    <row r="60" spans="1:12" ht="12.75">
      <c r="A60" s="11" t="s">
        <v>404</v>
      </c>
      <c r="B60" s="12"/>
      <c r="C60" s="12"/>
      <c r="D60" s="12"/>
      <c r="E60" s="12"/>
      <c r="F60" s="13"/>
      <c r="G60" s="12"/>
      <c r="H60" s="14"/>
      <c r="I60" s="15"/>
      <c r="J60" s="21"/>
      <c r="K60" s="21"/>
      <c r="L60" s="37"/>
    </row>
    <row r="61" spans="1:12" ht="12.75">
      <c r="A61" s="11"/>
      <c r="B61" s="12">
        <v>2</v>
      </c>
      <c r="C61" s="12">
        <v>2954</v>
      </c>
      <c r="D61" s="12" t="s">
        <v>6</v>
      </c>
      <c r="E61" s="12" t="s">
        <v>7</v>
      </c>
      <c r="F61" s="13" t="s">
        <v>88</v>
      </c>
      <c r="G61" s="12">
        <v>1.18</v>
      </c>
      <c r="H61" s="14" t="s">
        <v>8</v>
      </c>
      <c r="I61" s="15">
        <v>53</v>
      </c>
      <c r="J61" s="24">
        <f>1+0.3779</f>
        <v>1.3779</v>
      </c>
      <c r="K61" s="22">
        <f aca="true" t="shared" si="10" ref="K61:K66">G61*J61-0.005</f>
        <v>1.620922</v>
      </c>
      <c r="L61" s="37">
        <v>837</v>
      </c>
    </row>
    <row r="62" spans="1:12" ht="12.75">
      <c r="A62" s="11"/>
      <c r="B62" s="12">
        <v>5</v>
      </c>
      <c r="C62" s="12">
        <v>3814</v>
      </c>
      <c r="D62" s="12" t="s">
        <v>12</v>
      </c>
      <c r="E62" s="12" t="s">
        <v>10</v>
      </c>
      <c r="F62" s="13" t="s">
        <v>90</v>
      </c>
      <c r="G62" s="17">
        <v>1.1</v>
      </c>
      <c r="H62" s="14" t="s">
        <v>13</v>
      </c>
      <c r="I62" s="15">
        <v>58</v>
      </c>
      <c r="J62" s="24">
        <f>1+0.2973</f>
        <v>1.2973</v>
      </c>
      <c r="K62" s="22">
        <f t="shared" si="10"/>
        <v>1.4220300000000001</v>
      </c>
      <c r="L62" s="37">
        <v>649</v>
      </c>
    </row>
    <row r="63" spans="1:12" ht="12.75">
      <c r="A63" s="11"/>
      <c r="B63" s="12">
        <v>4</v>
      </c>
      <c r="C63" s="12">
        <v>3643</v>
      </c>
      <c r="D63" s="12" t="s">
        <v>9</v>
      </c>
      <c r="E63" s="12" t="s">
        <v>10</v>
      </c>
      <c r="F63" s="13" t="s">
        <v>89</v>
      </c>
      <c r="G63" s="12">
        <v>1.15</v>
      </c>
      <c r="H63" s="14" t="s">
        <v>11</v>
      </c>
      <c r="I63" s="15">
        <v>65</v>
      </c>
      <c r="J63" s="24">
        <f>1+0.2256</f>
        <v>1.2256</v>
      </c>
      <c r="K63" s="22">
        <f t="shared" si="10"/>
        <v>1.4044400000000001</v>
      </c>
      <c r="L63" s="37">
        <v>630</v>
      </c>
    </row>
    <row r="64" spans="1:12" ht="12.75">
      <c r="A64" s="11"/>
      <c r="B64" s="12">
        <v>6</v>
      </c>
      <c r="C64" s="12">
        <v>3239</v>
      </c>
      <c r="D64" s="12" t="s">
        <v>91</v>
      </c>
      <c r="E64" s="12" t="s">
        <v>5</v>
      </c>
      <c r="F64" s="13" t="s">
        <v>90</v>
      </c>
      <c r="G64" s="17">
        <v>1.1</v>
      </c>
      <c r="H64" s="14" t="s">
        <v>11</v>
      </c>
      <c r="I64" s="15">
        <v>62</v>
      </c>
      <c r="J64" s="24">
        <f>1+0.2256</f>
        <v>1.2256</v>
      </c>
      <c r="K64" s="22">
        <f t="shared" si="10"/>
        <v>1.3431600000000001</v>
      </c>
      <c r="L64" s="37">
        <v>575</v>
      </c>
    </row>
    <row r="65" spans="1:12" ht="12.75">
      <c r="A65" s="11"/>
      <c r="B65" s="12">
        <v>1</v>
      </c>
      <c r="C65" s="12">
        <v>3585</v>
      </c>
      <c r="D65" s="12" t="s">
        <v>27</v>
      </c>
      <c r="E65" s="12" t="s">
        <v>5</v>
      </c>
      <c r="F65" s="13" t="s">
        <v>88</v>
      </c>
      <c r="G65" s="12">
        <v>1.18</v>
      </c>
      <c r="H65" s="14" t="s">
        <v>23</v>
      </c>
      <c r="I65" s="15">
        <v>71</v>
      </c>
      <c r="J65" s="24">
        <f>1+0.1036</f>
        <v>1.1036</v>
      </c>
      <c r="K65" s="22">
        <f t="shared" si="10"/>
        <v>1.297248</v>
      </c>
      <c r="L65" s="37">
        <v>538</v>
      </c>
    </row>
    <row r="66" spans="1:12" ht="12.75">
      <c r="A66" s="11"/>
      <c r="B66" s="12">
        <v>3</v>
      </c>
      <c r="C66" s="12">
        <v>3052</v>
      </c>
      <c r="D66" s="12" t="s">
        <v>78</v>
      </c>
      <c r="E66" s="12" t="s">
        <v>32</v>
      </c>
      <c r="F66" s="13" t="s">
        <v>88</v>
      </c>
      <c r="G66" s="12">
        <v>1.18</v>
      </c>
      <c r="H66" s="14" t="s">
        <v>25</v>
      </c>
      <c r="I66" s="15">
        <v>79</v>
      </c>
      <c r="J66" s="24">
        <f>1+0.0512</f>
        <v>1.0512</v>
      </c>
      <c r="K66" s="22">
        <f t="shared" si="10"/>
        <v>1.2354159999999998</v>
      </c>
      <c r="L66" s="37">
        <v>482</v>
      </c>
    </row>
    <row r="67" spans="1:12" ht="12.75">
      <c r="A67" s="11"/>
      <c r="B67" s="12"/>
      <c r="C67" s="12"/>
      <c r="D67" s="12"/>
      <c r="E67" s="12"/>
      <c r="F67" s="13"/>
      <c r="G67" s="12"/>
      <c r="H67" s="14"/>
      <c r="I67" s="15"/>
      <c r="J67" s="21"/>
      <c r="K67" s="21"/>
      <c r="L67" s="37"/>
    </row>
    <row r="68" spans="1:12" ht="12.75">
      <c r="A68" s="11" t="s">
        <v>405</v>
      </c>
      <c r="B68" s="12"/>
      <c r="C68" s="12"/>
      <c r="D68" s="12"/>
      <c r="E68" s="12"/>
      <c r="F68" s="13"/>
      <c r="G68" s="12"/>
      <c r="H68" s="14"/>
      <c r="I68" s="15"/>
      <c r="J68" s="21"/>
      <c r="K68" s="21"/>
      <c r="L68" s="37"/>
    </row>
    <row r="69" spans="1:12" ht="12.75">
      <c r="A69" s="11"/>
      <c r="B69" s="12">
        <v>1</v>
      </c>
      <c r="C69" s="12">
        <v>4000</v>
      </c>
      <c r="D69" s="12" t="s">
        <v>71</v>
      </c>
      <c r="E69" s="12" t="s">
        <v>72</v>
      </c>
      <c r="F69" s="13" t="s">
        <v>92</v>
      </c>
      <c r="G69" s="12">
        <v>21.69</v>
      </c>
      <c r="H69" s="14" t="s">
        <v>3</v>
      </c>
      <c r="I69" s="15">
        <v>66</v>
      </c>
      <c r="J69" s="21">
        <f>1+0.3479</f>
        <v>1.3479</v>
      </c>
      <c r="K69" s="22">
        <f aca="true" t="shared" si="11" ref="K69:K74">G69*J69-0.005</f>
        <v>29.230951000000005</v>
      </c>
      <c r="L69" s="37">
        <v>502</v>
      </c>
    </row>
    <row r="70" spans="1:12" ht="12.75">
      <c r="A70" s="11"/>
      <c r="B70" s="12">
        <v>2</v>
      </c>
      <c r="C70" s="12">
        <v>9906</v>
      </c>
      <c r="D70" s="12" t="s">
        <v>20</v>
      </c>
      <c r="E70" s="12" t="s">
        <v>19</v>
      </c>
      <c r="F70" s="13" t="s">
        <v>93</v>
      </c>
      <c r="G70" s="12">
        <v>19.56</v>
      </c>
      <c r="H70" s="14" t="s">
        <v>25</v>
      </c>
      <c r="I70" s="15">
        <v>80</v>
      </c>
      <c r="J70" s="21">
        <f>1+0.0621</f>
        <v>1.0621</v>
      </c>
      <c r="K70" s="22">
        <f t="shared" si="11"/>
        <v>20.769676</v>
      </c>
      <c r="L70" s="37">
        <v>350</v>
      </c>
    </row>
    <row r="71" spans="1:12" ht="12.75">
      <c r="A71" s="11"/>
      <c r="B71" s="12">
        <v>3</v>
      </c>
      <c r="C71" s="12">
        <v>3052</v>
      </c>
      <c r="D71" s="12" t="s">
        <v>78</v>
      </c>
      <c r="E71" s="12" t="s">
        <v>32</v>
      </c>
      <c r="F71" s="13" t="s">
        <v>94</v>
      </c>
      <c r="G71" s="17">
        <v>18.5</v>
      </c>
      <c r="H71" s="14" t="s">
        <v>25</v>
      </c>
      <c r="I71" s="15">
        <v>79</v>
      </c>
      <c r="J71" s="21">
        <f>1+0.0621</f>
        <v>1.0621</v>
      </c>
      <c r="K71" s="22">
        <f t="shared" si="11"/>
        <v>19.64385</v>
      </c>
      <c r="L71" s="37">
        <v>330</v>
      </c>
    </row>
    <row r="72" spans="1:12" ht="12.75">
      <c r="A72" s="11"/>
      <c r="B72" s="12">
        <v>4</v>
      </c>
      <c r="C72" s="12">
        <v>3134</v>
      </c>
      <c r="D72" s="12" t="s">
        <v>80</v>
      </c>
      <c r="E72" s="12" t="s">
        <v>81</v>
      </c>
      <c r="F72" s="13" t="s">
        <v>95</v>
      </c>
      <c r="G72" s="12">
        <v>15.67</v>
      </c>
      <c r="H72" s="14" t="s">
        <v>23</v>
      </c>
      <c r="I72" s="15">
        <v>72</v>
      </c>
      <c r="J72" s="21">
        <f>1+0.1475</f>
        <v>1.1475</v>
      </c>
      <c r="K72" s="22">
        <f t="shared" si="11"/>
        <v>17.976325</v>
      </c>
      <c r="L72" s="37">
        <v>300</v>
      </c>
    </row>
    <row r="73" spans="1:12" ht="12.75">
      <c r="A73" s="11"/>
      <c r="B73" s="12">
        <v>5</v>
      </c>
      <c r="C73" s="12">
        <v>3492</v>
      </c>
      <c r="D73" s="12" t="s">
        <v>26</v>
      </c>
      <c r="E73" s="12" t="s">
        <v>15</v>
      </c>
      <c r="F73" s="13" t="s">
        <v>96</v>
      </c>
      <c r="G73" s="12">
        <v>15.55</v>
      </c>
      <c r="H73" s="14" t="s">
        <v>25</v>
      </c>
      <c r="I73" s="15">
        <v>75</v>
      </c>
      <c r="J73" s="21">
        <f>1+0.0621</f>
        <v>1.0621</v>
      </c>
      <c r="K73" s="22">
        <f t="shared" si="11"/>
        <v>16.510655000000003</v>
      </c>
      <c r="L73" s="37">
        <v>274</v>
      </c>
    </row>
    <row r="74" spans="1:12" ht="12.75">
      <c r="A74" s="11"/>
      <c r="B74" s="12">
        <v>6</v>
      </c>
      <c r="C74" s="12">
        <v>3074</v>
      </c>
      <c r="D74" s="12" t="s">
        <v>83</v>
      </c>
      <c r="E74" s="12" t="s">
        <v>32</v>
      </c>
      <c r="F74" s="13" t="s">
        <v>97</v>
      </c>
      <c r="G74" s="17">
        <v>13</v>
      </c>
      <c r="H74" s="14" t="s">
        <v>23</v>
      </c>
      <c r="I74" s="15">
        <v>74</v>
      </c>
      <c r="J74" s="21">
        <f>1+0.1475</f>
        <v>1.1475</v>
      </c>
      <c r="K74" s="22">
        <f t="shared" si="11"/>
        <v>14.9125</v>
      </c>
      <c r="L74" s="37">
        <v>245</v>
      </c>
    </row>
    <row r="75" spans="1:12" ht="12.75">
      <c r="A75" s="11"/>
      <c r="B75" s="12"/>
      <c r="C75" s="12"/>
      <c r="D75" s="12"/>
      <c r="E75" s="12"/>
      <c r="F75" s="13"/>
      <c r="G75" s="12"/>
      <c r="H75" s="14"/>
      <c r="I75" s="15"/>
      <c r="J75" s="21"/>
      <c r="K75" s="21"/>
      <c r="L75" s="37"/>
    </row>
    <row r="76" spans="1:12" ht="12.75">
      <c r="A76" s="11" t="s">
        <v>406</v>
      </c>
      <c r="B76" s="12"/>
      <c r="C76" s="12"/>
      <c r="D76" s="12"/>
      <c r="E76" s="12"/>
      <c r="F76" s="13"/>
      <c r="G76" s="12"/>
      <c r="H76" s="14"/>
      <c r="I76" s="15"/>
      <c r="J76" s="21"/>
      <c r="K76" s="21"/>
      <c r="L76" s="37"/>
    </row>
    <row r="77" spans="1:12" ht="12.75">
      <c r="A77" s="11"/>
      <c r="B77" s="12">
        <v>1</v>
      </c>
      <c r="C77" s="12">
        <v>3110</v>
      </c>
      <c r="D77" s="12" t="s">
        <v>98</v>
      </c>
      <c r="E77" s="12" t="s">
        <v>99</v>
      </c>
      <c r="F77" s="13" t="s">
        <v>100</v>
      </c>
      <c r="G77" s="12">
        <v>23.25</v>
      </c>
      <c r="H77" s="14" t="s">
        <v>101</v>
      </c>
      <c r="I77" s="15">
        <v>46</v>
      </c>
      <c r="J77" s="21">
        <f>1+0.9197</f>
        <v>1.9197</v>
      </c>
      <c r="K77" s="22">
        <f>G77*J77-0.005</f>
        <v>44.628024999999994</v>
      </c>
      <c r="L77" s="37">
        <v>779</v>
      </c>
    </row>
    <row r="78" spans="1:12" ht="12.75">
      <c r="A78" s="11"/>
      <c r="B78" s="12">
        <v>2</v>
      </c>
      <c r="C78" s="12">
        <v>3066</v>
      </c>
      <c r="D78" s="12" t="s">
        <v>102</v>
      </c>
      <c r="E78" s="12" t="s">
        <v>7</v>
      </c>
      <c r="F78" s="13" t="s">
        <v>103</v>
      </c>
      <c r="G78" s="12">
        <v>22.53</v>
      </c>
      <c r="H78" s="14" t="s">
        <v>8</v>
      </c>
      <c r="I78" s="15">
        <v>51</v>
      </c>
      <c r="J78" s="24">
        <f>1+0.692</f>
        <v>1.692</v>
      </c>
      <c r="K78" s="22">
        <f>G78*J78-0.005</f>
        <v>38.11576</v>
      </c>
      <c r="L78" s="37">
        <v>661</v>
      </c>
    </row>
    <row r="79" spans="1:12" ht="12.75">
      <c r="A79" s="11"/>
      <c r="B79" s="12">
        <v>3</v>
      </c>
      <c r="C79" s="12">
        <v>3171</v>
      </c>
      <c r="D79" s="12" t="s">
        <v>34</v>
      </c>
      <c r="E79" s="12" t="s">
        <v>35</v>
      </c>
      <c r="F79" s="13" t="s">
        <v>104</v>
      </c>
      <c r="G79" s="12">
        <v>15.71</v>
      </c>
      <c r="H79" s="14" t="s">
        <v>11</v>
      </c>
      <c r="I79" s="15">
        <v>61</v>
      </c>
      <c r="J79" s="21">
        <f>1+0.3876</f>
        <v>1.3876</v>
      </c>
      <c r="K79" s="22">
        <f>G79*J79-0.005</f>
        <v>21.794196000000003</v>
      </c>
      <c r="L79" s="37">
        <v>368</v>
      </c>
    </row>
    <row r="80" spans="1:12" ht="12.75">
      <c r="A80" s="11"/>
      <c r="B80" s="12">
        <v>4</v>
      </c>
      <c r="C80" s="12">
        <v>4072</v>
      </c>
      <c r="D80" s="12" t="s">
        <v>74</v>
      </c>
      <c r="E80" s="12" t="s">
        <v>72</v>
      </c>
      <c r="F80" s="13" t="s">
        <v>105</v>
      </c>
      <c r="G80" s="12">
        <v>12.09</v>
      </c>
      <c r="H80" s="14" t="s">
        <v>11</v>
      </c>
      <c r="I80" s="15">
        <v>63</v>
      </c>
      <c r="J80" s="21">
        <f>1+0.3876</f>
        <v>1.3876</v>
      </c>
      <c r="K80" s="22">
        <f>G80*J80-0.005</f>
        <v>16.771084000000002</v>
      </c>
      <c r="L80" s="37">
        <v>279</v>
      </c>
    </row>
    <row r="81" spans="1:12" ht="12.75">
      <c r="A81" s="11"/>
      <c r="B81" s="12"/>
      <c r="C81" s="12"/>
      <c r="D81" s="12"/>
      <c r="E81" s="12"/>
      <c r="F81" s="13"/>
      <c r="G81" s="12"/>
      <c r="H81" s="14"/>
      <c r="I81" s="15"/>
      <c r="J81" s="21"/>
      <c r="K81" s="21"/>
      <c r="L81" s="37"/>
    </row>
    <row r="82" spans="1:12" ht="12.75">
      <c r="A82" s="11" t="s">
        <v>407</v>
      </c>
      <c r="B82" s="12"/>
      <c r="C82" s="12"/>
      <c r="D82" s="12"/>
      <c r="E82" s="12"/>
      <c r="F82" s="13"/>
      <c r="G82" s="12"/>
      <c r="H82" s="14"/>
      <c r="I82" s="15"/>
      <c r="J82" s="21"/>
      <c r="K82" s="21"/>
      <c r="L82" s="37"/>
    </row>
    <row r="83" spans="1:12" ht="12.75">
      <c r="A83" s="11"/>
      <c r="B83" s="12">
        <v>3</v>
      </c>
      <c r="C83" s="12">
        <v>2954</v>
      </c>
      <c r="D83" s="12" t="s">
        <v>6</v>
      </c>
      <c r="E83" s="12" t="s">
        <v>7</v>
      </c>
      <c r="F83" s="13" t="s">
        <v>107</v>
      </c>
      <c r="G83" s="12">
        <v>3.95</v>
      </c>
      <c r="H83" s="14" t="s">
        <v>8</v>
      </c>
      <c r="I83" s="15">
        <v>53</v>
      </c>
      <c r="J83" s="24">
        <f>1+0.44</f>
        <v>1.44</v>
      </c>
      <c r="K83" s="22">
        <f aca="true" t="shared" si="12" ref="K83:K91">G83*J83-0.005</f>
        <v>5.683</v>
      </c>
      <c r="L83" s="37">
        <v>919</v>
      </c>
    </row>
    <row r="84" spans="1:12" ht="12.75">
      <c r="A84" s="11"/>
      <c r="B84" s="12">
        <v>7</v>
      </c>
      <c r="C84" s="12">
        <v>3638</v>
      </c>
      <c r="D84" s="12" t="s">
        <v>28</v>
      </c>
      <c r="E84" s="12" t="s">
        <v>29</v>
      </c>
      <c r="F84" s="13" t="s">
        <v>111</v>
      </c>
      <c r="G84" s="12">
        <v>3.35</v>
      </c>
      <c r="H84" s="14" t="s">
        <v>13</v>
      </c>
      <c r="I84" s="15">
        <v>55</v>
      </c>
      <c r="J84" s="21">
        <f>1+0.3405</f>
        <v>1.3405</v>
      </c>
      <c r="K84" s="22">
        <f t="shared" si="12"/>
        <v>4.4856750000000005</v>
      </c>
      <c r="L84" s="37">
        <v>667</v>
      </c>
    </row>
    <row r="85" spans="1:12" ht="12.75">
      <c r="A85" s="11"/>
      <c r="B85" s="12">
        <v>1</v>
      </c>
      <c r="C85" s="12">
        <v>9906</v>
      </c>
      <c r="D85" s="12" t="s">
        <v>20</v>
      </c>
      <c r="E85" s="12" t="s">
        <v>19</v>
      </c>
      <c r="F85" s="13" t="s">
        <v>106</v>
      </c>
      <c r="G85" s="12">
        <v>4.27</v>
      </c>
      <c r="H85" s="14" t="s">
        <v>25</v>
      </c>
      <c r="I85" s="15">
        <v>80</v>
      </c>
      <c r="J85" s="24">
        <f>1+0.05</f>
        <v>1.05</v>
      </c>
      <c r="K85" s="22">
        <f t="shared" si="12"/>
        <v>4.4784999999999995</v>
      </c>
      <c r="L85" s="37">
        <v>665</v>
      </c>
    </row>
    <row r="86" spans="1:12" ht="12.75">
      <c r="A86" s="11"/>
      <c r="B86" s="12">
        <v>4</v>
      </c>
      <c r="C86" s="12">
        <v>9905</v>
      </c>
      <c r="D86" s="12" t="s">
        <v>18</v>
      </c>
      <c r="E86" s="12" t="s">
        <v>19</v>
      </c>
      <c r="F86" s="13" t="s">
        <v>108</v>
      </c>
      <c r="G86" s="17">
        <v>3.8</v>
      </c>
      <c r="H86" s="14" t="s">
        <v>3</v>
      </c>
      <c r="I86" s="15">
        <v>70</v>
      </c>
      <c r="J86" s="21">
        <f>1+0.1776</f>
        <v>1.1776</v>
      </c>
      <c r="K86" s="22">
        <f t="shared" si="12"/>
        <v>4.46988</v>
      </c>
      <c r="L86" s="37">
        <v>663</v>
      </c>
    </row>
    <row r="87" spans="1:12" ht="12.75">
      <c r="A87" s="11"/>
      <c r="B87" s="12">
        <v>2</v>
      </c>
      <c r="C87" s="12">
        <v>3700</v>
      </c>
      <c r="D87" s="12" t="s">
        <v>21</v>
      </c>
      <c r="E87" s="12" t="s">
        <v>22</v>
      </c>
      <c r="F87" s="13" t="s">
        <v>107</v>
      </c>
      <c r="G87" s="12">
        <v>3.95</v>
      </c>
      <c r="H87" s="14" t="s">
        <v>23</v>
      </c>
      <c r="I87" s="15">
        <v>71</v>
      </c>
      <c r="J87" s="21">
        <f>1+0.1101</f>
        <v>1.1101</v>
      </c>
      <c r="K87" s="22">
        <f t="shared" si="12"/>
        <v>4.379895</v>
      </c>
      <c r="L87" s="37">
        <v>644</v>
      </c>
    </row>
    <row r="88" spans="1:12" ht="12.75">
      <c r="A88" s="11"/>
      <c r="B88" s="12">
        <v>8</v>
      </c>
      <c r="C88" s="12">
        <v>3814</v>
      </c>
      <c r="D88" s="12" t="s">
        <v>12</v>
      </c>
      <c r="E88" s="12" t="s">
        <v>10</v>
      </c>
      <c r="F88" s="13" t="s">
        <v>112</v>
      </c>
      <c r="G88" s="12">
        <v>3.21</v>
      </c>
      <c r="H88" s="14" t="s">
        <v>13</v>
      </c>
      <c r="I88" s="15">
        <v>58</v>
      </c>
      <c r="J88" s="21">
        <f>1+0.3405</f>
        <v>1.3405</v>
      </c>
      <c r="K88" s="22">
        <f t="shared" si="12"/>
        <v>4.298005</v>
      </c>
      <c r="L88" s="37">
        <v>628</v>
      </c>
    </row>
    <row r="89" spans="1:12" ht="12.75">
      <c r="A89" s="11"/>
      <c r="B89" s="12">
        <v>5</v>
      </c>
      <c r="C89" s="12">
        <v>3585</v>
      </c>
      <c r="D89" s="12" t="s">
        <v>27</v>
      </c>
      <c r="E89" s="12" t="s">
        <v>5</v>
      </c>
      <c r="F89" s="13" t="s">
        <v>109</v>
      </c>
      <c r="G89" s="12">
        <v>3.62</v>
      </c>
      <c r="H89" s="14" t="s">
        <v>23</v>
      </c>
      <c r="I89" s="15">
        <v>71</v>
      </c>
      <c r="J89" s="21">
        <f>1+0.1101</f>
        <v>1.1101</v>
      </c>
      <c r="K89" s="22">
        <f t="shared" si="12"/>
        <v>4.013562</v>
      </c>
      <c r="L89" s="37">
        <v>567</v>
      </c>
    </row>
    <row r="90" spans="1:12" ht="12.75">
      <c r="A90" s="11"/>
      <c r="B90" s="12">
        <v>6</v>
      </c>
      <c r="C90" s="12">
        <v>3052</v>
      </c>
      <c r="D90" s="12" t="s">
        <v>78</v>
      </c>
      <c r="E90" s="12" t="s">
        <v>32</v>
      </c>
      <c r="F90" s="13" t="s">
        <v>110</v>
      </c>
      <c r="G90" s="12">
        <v>3.43</v>
      </c>
      <c r="H90" s="14" t="s">
        <v>25</v>
      </c>
      <c r="I90" s="15">
        <v>79</v>
      </c>
      <c r="J90" s="24">
        <f>1+0.05</f>
        <v>1.05</v>
      </c>
      <c r="K90" s="22">
        <f t="shared" si="12"/>
        <v>3.5965000000000003</v>
      </c>
      <c r="L90" s="37">
        <v>483</v>
      </c>
    </row>
    <row r="91" spans="1:12" ht="12.75">
      <c r="A91" s="11"/>
      <c r="B91" s="12">
        <v>9</v>
      </c>
      <c r="C91" s="12">
        <v>3915</v>
      </c>
      <c r="D91" s="12" t="s">
        <v>76</v>
      </c>
      <c r="E91" s="12" t="s">
        <v>32</v>
      </c>
      <c r="F91" s="13" t="s">
        <v>113</v>
      </c>
      <c r="G91" s="12">
        <v>2.69</v>
      </c>
      <c r="H91" s="14" t="s">
        <v>11</v>
      </c>
      <c r="I91" s="15">
        <v>64</v>
      </c>
      <c r="J91" s="21">
        <f>1+0.2538</f>
        <v>1.2538</v>
      </c>
      <c r="K91" s="22">
        <f t="shared" si="12"/>
        <v>3.367722</v>
      </c>
      <c r="L91" s="37">
        <v>436</v>
      </c>
    </row>
    <row r="92" spans="1:12" ht="12.75">
      <c r="A92" s="11"/>
      <c r="B92" s="12"/>
      <c r="C92" s="12"/>
      <c r="D92" s="12"/>
      <c r="E92" s="12"/>
      <c r="F92" s="13"/>
      <c r="G92" s="12"/>
      <c r="H92" s="14"/>
      <c r="I92" s="15"/>
      <c r="J92" s="21"/>
      <c r="K92" s="21"/>
      <c r="L92" s="37"/>
    </row>
    <row r="93" spans="1:12" ht="12.75">
      <c r="A93" s="11" t="s">
        <v>408</v>
      </c>
      <c r="B93" s="12"/>
      <c r="C93" s="12"/>
      <c r="D93" s="12"/>
      <c r="E93" s="12"/>
      <c r="F93" s="13"/>
      <c r="G93" s="12"/>
      <c r="H93" s="14"/>
      <c r="I93" s="15"/>
      <c r="J93" s="21"/>
      <c r="K93" s="21"/>
      <c r="L93" s="37"/>
    </row>
    <row r="94" spans="1:12" ht="12.75">
      <c r="A94" s="11"/>
      <c r="B94" s="12">
        <v>3</v>
      </c>
      <c r="C94" s="12">
        <v>4000</v>
      </c>
      <c r="D94" s="12" t="s">
        <v>71</v>
      </c>
      <c r="E94" s="12" t="s">
        <v>72</v>
      </c>
      <c r="F94" s="13" t="s">
        <v>116</v>
      </c>
      <c r="G94" s="12">
        <v>7.55</v>
      </c>
      <c r="H94" s="14" t="s">
        <v>3</v>
      </c>
      <c r="I94" s="15">
        <v>66</v>
      </c>
      <c r="J94" s="21">
        <f>1+0.1943</f>
        <v>1.1943</v>
      </c>
      <c r="K94" s="22">
        <f aca="true" t="shared" si="13" ref="K94:K100">G94*J94-0.005</f>
        <v>9.011964999999998</v>
      </c>
      <c r="L94" s="37">
        <v>511</v>
      </c>
    </row>
    <row r="95" spans="1:12" ht="12.75">
      <c r="A95" s="11"/>
      <c r="B95" s="12">
        <v>1</v>
      </c>
      <c r="C95" s="12">
        <v>3492</v>
      </c>
      <c r="D95" s="12" t="s">
        <v>26</v>
      </c>
      <c r="E95" s="12" t="s">
        <v>15</v>
      </c>
      <c r="F95" s="13" t="s">
        <v>114</v>
      </c>
      <c r="G95" s="12">
        <v>8.22</v>
      </c>
      <c r="H95" s="14" t="s">
        <v>25</v>
      </c>
      <c r="I95" s="15">
        <v>75</v>
      </c>
      <c r="J95" s="21">
        <f>1+0.0368</f>
        <v>1.0368</v>
      </c>
      <c r="K95" s="22">
        <f t="shared" si="13"/>
        <v>8.517496</v>
      </c>
      <c r="L95" s="37">
        <v>482</v>
      </c>
    </row>
    <row r="96" spans="1:12" ht="12.75">
      <c r="A96" s="11"/>
      <c r="B96" s="12">
        <v>4</v>
      </c>
      <c r="C96" s="12">
        <v>3134</v>
      </c>
      <c r="D96" s="12" t="s">
        <v>80</v>
      </c>
      <c r="E96" s="12" t="s">
        <v>81</v>
      </c>
      <c r="F96" s="13" t="s">
        <v>117</v>
      </c>
      <c r="G96" s="12">
        <v>7.42</v>
      </c>
      <c r="H96" s="14" t="s">
        <v>23</v>
      </c>
      <c r="I96" s="15">
        <v>72</v>
      </c>
      <c r="J96" s="24">
        <f>1+0.11</f>
        <v>1.11</v>
      </c>
      <c r="K96" s="22">
        <f t="shared" si="13"/>
        <v>8.2312</v>
      </c>
      <c r="L96" s="37">
        <v>464</v>
      </c>
    </row>
    <row r="97" spans="1:12" ht="12.75">
      <c r="A97" s="11"/>
      <c r="B97" s="12">
        <v>2</v>
      </c>
      <c r="C97" s="12">
        <v>3052</v>
      </c>
      <c r="D97" s="12" t="s">
        <v>78</v>
      </c>
      <c r="E97" s="12" t="s">
        <v>32</v>
      </c>
      <c r="F97" s="13" t="s">
        <v>115</v>
      </c>
      <c r="G97" s="12">
        <v>7.57</v>
      </c>
      <c r="H97" s="14" t="s">
        <v>25</v>
      </c>
      <c r="I97" s="15">
        <v>79</v>
      </c>
      <c r="J97" s="21">
        <f>1+0.0368</f>
        <v>1.0368</v>
      </c>
      <c r="K97" s="22">
        <f t="shared" si="13"/>
        <v>7.843576</v>
      </c>
      <c r="L97" s="37">
        <v>441</v>
      </c>
    </row>
    <row r="98" spans="1:12" ht="12.75">
      <c r="A98" s="11"/>
      <c r="B98" s="12">
        <v>7</v>
      </c>
      <c r="C98" s="12">
        <v>3644</v>
      </c>
      <c r="D98" s="12" t="s">
        <v>16</v>
      </c>
      <c r="E98" s="12" t="s">
        <v>10</v>
      </c>
      <c r="F98" s="13" t="s">
        <v>120</v>
      </c>
      <c r="G98" s="12">
        <v>5.54</v>
      </c>
      <c r="H98" s="14" t="s">
        <v>3</v>
      </c>
      <c r="I98" s="15">
        <v>70</v>
      </c>
      <c r="J98" s="21">
        <f>1+0.1943</f>
        <v>1.1943</v>
      </c>
      <c r="K98" s="22">
        <f t="shared" si="13"/>
        <v>6.611422</v>
      </c>
      <c r="L98" s="37">
        <v>367</v>
      </c>
    </row>
    <row r="99" spans="1:12" ht="12.75">
      <c r="A99" s="11"/>
      <c r="B99" s="12">
        <v>5</v>
      </c>
      <c r="C99" s="12">
        <v>3490</v>
      </c>
      <c r="D99" s="12" t="s">
        <v>37</v>
      </c>
      <c r="E99" s="12" t="s">
        <v>15</v>
      </c>
      <c r="F99" s="13" t="s">
        <v>118</v>
      </c>
      <c r="G99" s="12">
        <v>5.88</v>
      </c>
      <c r="H99" s="14" t="s">
        <v>23</v>
      </c>
      <c r="I99" s="15">
        <v>70</v>
      </c>
      <c r="J99" s="24">
        <f>1+0.11</f>
        <v>1.11</v>
      </c>
      <c r="K99" s="22">
        <f t="shared" si="13"/>
        <v>6.521800000000001</v>
      </c>
      <c r="L99" s="37">
        <v>362</v>
      </c>
    </row>
    <row r="100" spans="1:12" ht="12.75">
      <c r="A100" s="11"/>
      <c r="B100" s="12">
        <v>6</v>
      </c>
      <c r="C100" s="12">
        <v>3074</v>
      </c>
      <c r="D100" s="12" t="s">
        <v>83</v>
      </c>
      <c r="E100" s="12" t="s">
        <v>32</v>
      </c>
      <c r="F100" s="13" t="s">
        <v>119</v>
      </c>
      <c r="G100" s="12">
        <v>5.82</v>
      </c>
      <c r="H100" s="14" t="s">
        <v>23</v>
      </c>
      <c r="I100" s="15">
        <v>74</v>
      </c>
      <c r="J100" s="24">
        <f>1+0.11</f>
        <v>1.11</v>
      </c>
      <c r="K100" s="22">
        <f t="shared" si="13"/>
        <v>6.455200000000001</v>
      </c>
      <c r="L100" s="37">
        <v>358</v>
      </c>
    </row>
    <row r="101" spans="1:12" ht="12.75">
      <c r="A101" s="11"/>
      <c r="B101" s="12"/>
      <c r="C101" s="12"/>
      <c r="D101" s="12"/>
      <c r="E101" s="12"/>
      <c r="F101" s="13"/>
      <c r="G101" s="12"/>
      <c r="H101" s="14"/>
      <c r="I101" s="15"/>
      <c r="J101" s="21"/>
      <c r="K101" s="21"/>
      <c r="L101" s="37"/>
    </row>
    <row r="102" spans="1:12" ht="12.75">
      <c r="A102" s="11" t="s">
        <v>409</v>
      </c>
      <c r="B102" s="12"/>
      <c r="C102" s="12"/>
      <c r="D102" s="12"/>
      <c r="E102" s="12"/>
      <c r="F102" s="13"/>
      <c r="G102" s="12"/>
      <c r="H102" s="14"/>
      <c r="I102" s="15"/>
      <c r="J102" s="21"/>
      <c r="K102" s="21"/>
      <c r="L102" s="37"/>
    </row>
    <row r="103" spans="1:12" ht="12.75">
      <c r="A103" s="11"/>
      <c r="B103" s="12">
        <v>1</v>
      </c>
      <c r="C103" s="12">
        <v>3066</v>
      </c>
      <c r="D103" s="12" t="s">
        <v>102</v>
      </c>
      <c r="E103" s="12" t="s">
        <v>7</v>
      </c>
      <c r="F103" s="13" t="s">
        <v>121</v>
      </c>
      <c r="G103" s="17">
        <v>8.9</v>
      </c>
      <c r="H103" s="14" t="s">
        <v>8</v>
      </c>
      <c r="I103" s="15">
        <v>51</v>
      </c>
      <c r="J103" s="21">
        <f>1+0.5015</f>
        <v>1.5015</v>
      </c>
      <c r="K103" s="22">
        <f aca="true" t="shared" si="14" ref="K103:K110">G103*J103-0.005</f>
        <v>13.35835</v>
      </c>
      <c r="L103" s="37">
        <v>773</v>
      </c>
    </row>
    <row r="104" spans="1:12" ht="12.75">
      <c r="A104" s="11"/>
      <c r="B104" s="12">
        <v>2</v>
      </c>
      <c r="C104" s="12">
        <v>4072</v>
      </c>
      <c r="D104" s="12" t="s">
        <v>74</v>
      </c>
      <c r="E104" s="12" t="s">
        <v>72</v>
      </c>
      <c r="F104" s="13" t="s">
        <v>122</v>
      </c>
      <c r="G104" s="12">
        <v>8.58</v>
      </c>
      <c r="H104" s="14" t="s">
        <v>11</v>
      </c>
      <c r="I104" s="15">
        <v>63</v>
      </c>
      <c r="J104" s="21">
        <f>1+0.2607</f>
        <v>1.2607</v>
      </c>
      <c r="K104" s="22">
        <f t="shared" si="14"/>
        <v>10.811805999999999</v>
      </c>
      <c r="L104" s="37">
        <v>619</v>
      </c>
    </row>
    <row r="105" spans="1:12" ht="12.75">
      <c r="A105" s="11"/>
      <c r="B105" s="12">
        <v>3</v>
      </c>
      <c r="C105" s="12">
        <v>3175</v>
      </c>
      <c r="D105" s="12" t="s">
        <v>123</v>
      </c>
      <c r="E105" s="12" t="s">
        <v>35</v>
      </c>
      <c r="F105" s="13" t="s">
        <v>124</v>
      </c>
      <c r="G105" s="12">
        <v>8.24</v>
      </c>
      <c r="H105" s="14" t="s">
        <v>11</v>
      </c>
      <c r="I105" s="15">
        <v>62</v>
      </c>
      <c r="J105" s="21">
        <f>1+0.2607</f>
        <v>1.2607</v>
      </c>
      <c r="K105" s="22">
        <f t="shared" si="14"/>
        <v>10.383168</v>
      </c>
      <c r="L105" s="37">
        <v>593</v>
      </c>
    </row>
    <row r="106" spans="1:12" ht="12.75">
      <c r="A106" s="11"/>
      <c r="B106" s="12">
        <v>6</v>
      </c>
      <c r="C106" s="12">
        <v>3814</v>
      </c>
      <c r="D106" s="12" t="s">
        <v>12</v>
      </c>
      <c r="E106" s="12" t="s">
        <v>10</v>
      </c>
      <c r="F106" s="13" t="s">
        <v>129</v>
      </c>
      <c r="G106" s="12">
        <v>6.98</v>
      </c>
      <c r="H106" s="14" t="s">
        <v>13</v>
      </c>
      <c r="I106" s="15">
        <v>58</v>
      </c>
      <c r="J106" s="21">
        <f>1+0.3706</f>
        <v>1.3706</v>
      </c>
      <c r="K106" s="22">
        <f t="shared" si="14"/>
        <v>9.561788</v>
      </c>
      <c r="L106" s="37">
        <v>544</v>
      </c>
    </row>
    <row r="107" spans="1:12" ht="12.75">
      <c r="A107" s="11"/>
      <c r="B107" s="12">
        <v>4</v>
      </c>
      <c r="C107" s="12">
        <v>3285</v>
      </c>
      <c r="D107" s="12" t="s">
        <v>125</v>
      </c>
      <c r="E107" s="12" t="s">
        <v>126</v>
      </c>
      <c r="F107" s="13" t="s">
        <v>127</v>
      </c>
      <c r="G107" s="17">
        <v>7.4</v>
      </c>
      <c r="H107" s="14" t="s">
        <v>11</v>
      </c>
      <c r="I107" s="15">
        <v>64</v>
      </c>
      <c r="J107" s="21">
        <f>1+0.2607</f>
        <v>1.2607</v>
      </c>
      <c r="K107" s="22">
        <f t="shared" si="14"/>
        <v>9.324179999999998</v>
      </c>
      <c r="L107" s="37">
        <v>530</v>
      </c>
    </row>
    <row r="108" spans="1:12" ht="12.75">
      <c r="A108" s="11"/>
      <c r="B108" s="12">
        <v>5</v>
      </c>
      <c r="C108" s="12">
        <v>3239</v>
      </c>
      <c r="D108" s="12" t="s">
        <v>91</v>
      </c>
      <c r="E108" s="12" t="s">
        <v>5</v>
      </c>
      <c r="F108" s="13" t="s">
        <v>128</v>
      </c>
      <c r="G108" s="12">
        <v>7.17</v>
      </c>
      <c r="H108" s="14" t="s">
        <v>11</v>
      </c>
      <c r="I108" s="15">
        <v>62</v>
      </c>
      <c r="J108" s="21">
        <f>1+0.2607</f>
        <v>1.2607</v>
      </c>
      <c r="K108" s="22">
        <f t="shared" si="14"/>
        <v>9.034218999999998</v>
      </c>
      <c r="L108" s="37">
        <v>512</v>
      </c>
    </row>
    <row r="109" spans="1:12" ht="12.75">
      <c r="A109" s="11"/>
      <c r="B109" s="12">
        <v>7</v>
      </c>
      <c r="C109" s="12">
        <v>3915</v>
      </c>
      <c r="D109" s="12" t="s">
        <v>76</v>
      </c>
      <c r="E109" s="12" t="s">
        <v>32</v>
      </c>
      <c r="F109" s="13" t="s">
        <v>130</v>
      </c>
      <c r="G109" s="12">
        <v>6.79</v>
      </c>
      <c r="H109" s="14" t="s">
        <v>11</v>
      </c>
      <c r="I109" s="15">
        <v>64</v>
      </c>
      <c r="J109" s="21">
        <f>1+0.2607</f>
        <v>1.2607</v>
      </c>
      <c r="K109" s="22">
        <f t="shared" si="14"/>
        <v>8.555152999999999</v>
      </c>
      <c r="L109" s="37">
        <v>484</v>
      </c>
    </row>
    <row r="110" spans="1:12" ht="12.75">
      <c r="A110" s="11"/>
      <c r="B110" s="12">
        <v>8</v>
      </c>
      <c r="C110" s="12">
        <v>3643</v>
      </c>
      <c r="D110" s="12" t="s">
        <v>9</v>
      </c>
      <c r="E110" s="12" t="s">
        <v>10</v>
      </c>
      <c r="F110" s="13" t="s">
        <v>131</v>
      </c>
      <c r="G110" s="12">
        <v>6.69</v>
      </c>
      <c r="H110" s="14" t="s">
        <v>11</v>
      </c>
      <c r="I110" s="15">
        <v>65</v>
      </c>
      <c r="J110" s="21">
        <f>1+0.2607</f>
        <v>1.2607</v>
      </c>
      <c r="K110" s="22">
        <f t="shared" si="14"/>
        <v>8.429082999999999</v>
      </c>
      <c r="L110" s="37">
        <v>476</v>
      </c>
    </row>
    <row r="111" spans="1:12" ht="12.75">
      <c r="A111" s="11"/>
      <c r="B111" s="12"/>
      <c r="C111" s="12"/>
      <c r="D111" s="12"/>
      <c r="E111" s="12"/>
      <c r="F111" s="13"/>
      <c r="G111" s="12"/>
      <c r="H111" s="14"/>
      <c r="I111" s="15"/>
      <c r="J111" s="21"/>
      <c r="K111" s="21"/>
      <c r="L111" s="37"/>
    </row>
    <row r="112" spans="1:12" ht="12.75">
      <c r="A112" s="11" t="s">
        <v>410</v>
      </c>
      <c r="B112" s="12"/>
      <c r="C112" s="12"/>
      <c r="D112" s="12"/>
      <c r="E112" s="12"/>
      <c r="F112" s="13"/>
      <c r="G112" s="12"/>
      <c r="H112" s="14"/>
      <c r="I112" s="15"/>
      <c r="J112" s="21"/>
      <c r="K112" s="21"/>
      <c r="L112" s="37"/>
    </row>
    <row r="113" spans="1:12" ht="12.75">
      <c r="A113" s="11"/>
      <c r="B113" s="12">
        <v>1</v>
      </c>
      <c r="C113" s="12">
        <v>3238</v>
      </c>
      <c r="D113" s="12" t="s">
        <v>85</v>
      </c>
      <c r="E113" s="12" t="s">
        <v>5</v>
      </c>
      <c r="F113" s="13" t="s">
        <v>132</v>
      </c>
      <c r="G113" s="12">
        <v>6.75</v>
      </c>
      <c r="H113" s="14" t="s">
        <v>87</v>
      </c>
      <c r="I113" s="15">
        <v>29</v>
      </c>
      <c r="J113" s="21">
        <f>1+0.8324</f>
        <v>1.8324</v>
      </c>
      <c r="K113" s="22">
        <f>G113*J113-0.005</f>
        <v>12.3637</v>
      </c>
      <c r="L113" s="37">
        <v>712</v>
      </c>
    </row>
    <row r="114" spans="1:12" ht="12.75">
      <c r="A114" s="11"/>
      <c r="B114" s="12"/>
      <c r="C114" s="12"/>
      <c r="D114" s="12"/>
      <c r="E114" s="12"/>
      <c r="F114" s="13"/>
      <c r="G114" s="12"/>
      <c r="H114" s="14"/>
      <c r="I114" s="15"/>
      <c r="J114" s="21"/>
      <c r="K114" s="21"/>
      <c r="L114" s="37"/>
    </row>
    <row r="115" spans="1:12" ht="12.75">
      <c r="A115" s="11" t="s">
        <v>411</v>
      </c>
      <c r="B115" s="12"/>
      <c r="C115" s="12"/>
      <c r="D115" s="12"/>
      <c r="E115" s="12"/>
      <c r="F115" s="13"/>
      <c r="G115" s="12"/>
      <c r="H115" s="14"/>
      <c r="I115" s="15"/>
      <c r="J115" s="21"/>
      <c r="K115" s="21"/>
      <c r="L115" s="37"/>
    </row>
    <row r="116" spans="1:12" ht="12.75">
      <c r="A116" s="11" t="s">
        <v>133</v>
      </c>
      <c r="B116" s="12"/>
      <c r="C116" s="12"/>
      <c r="D116" s="12"/>
      <c r="E116" s="12"/>
      <c r="F116" s="13"/>
      <c r="G116" s="12"/>
      <c r="H116" s="14"/>
      <c r="I116" s="15"/>
      <c r="J116" s="21"/>
      <c r="K116" s="21"/>
      <c r="L116" s="37"/>
    </row>
    <row r="117" spans="1:12" ht="12.75">
      <c r="A117" s="11"/>
      <c r="B117" s="12">
        <v>1</v>
      </c>
      <c r="C117" s="12">
        <v>9902</v>
      </c>
      <c r="D117" s="12" t="s">
        <v>134</v>
      </c>
      <c r="E117" s="12" t="s">
        <v>19</v>
      </c>
      <c r="F117" s="13">
        <v>13.51</v>
      </c>
      <c r="G117" s="12"/>
      <c r="H117" s="14" t="s">
        <v>136</v>
      </c>
      <c r="I117" s="15">
        <v>65</v>
      </c>
      <c r="J117" s="21">
        <v>0.8996</v>
      </c>
      <c r="K117" s="22">
        <f>F117*J117+0.005</f>
        <v>12.158596</v>
      </c>
      <c r="L117" s="37">
        <v>576</v>
      </c>
    </row>
    <row r="118" spans="1:12" ht="12.75">
      <c r="A118" s="11"/>
      <c r="B118" s="12">
        <v>2</v>
      </c>
      <c r="C118" s="12">
        <v>6179</v>
      </c>
      <c r="D118" s="12" t="s">
        <v>135</v>
      </c>
      <c r="E118" s="12" t="s">
        <v>22</v>
      </c>
      <c r="F118" s="13">
        <v>13.86</v>
      </c>
      <c r="G118" s="12"/>
      <c r="H118" s="14" t="s">
        <v>136</v>
      </c>
      <c r="I118" s="15">
        <v>65</v>
      </c>
      <c r="J118" s="21">
        <v>0.8996</v>
      </c>
      <c r="K118" s="22">
        <f>F118*J118+0.005</f>
        <v>12.473455999999999</v>
      </c>
      <c r="L118" s="37">
        <v>505</v>
      </c>
    </row>
    <row r="119" spans="1:12" ht="12.75">
      <c r="A119" s="11"/>
      <c r="B119" s="12">
        <v>5</v>
      </c>
      <c r="C119" s="12">
        <v>5402</v>
      </c>
      <c r="D119" s="12" t="s">
        <v>142</v>
      </c>
      <c r="E119" s="12" t="s">
        <v>143</v>
      </c>
      <c r="F119" s="16">
        <v>16.1</v>
      </c>
      <c r="G119" s="12"/>
      <c r="H119" s="14" t="s">
        <v>144</v>
      </c>
      <c r="I119" s="15">
        <v>43</v>
      </c>
      <c r="J119" s="21">
        <v>0.7782</v>
      </c>
      <c r="K119" s="22">
        <f>F119*J119+0.005</f>
        <v>12.534020000000002</v>
      </c>
      <c r="L119" s="37">
        <v>492</v>
      </c>
    </row>
    <row r="120" spans="1:12" ht="12.75">
      <c r="A120" s="11"/>
      <c r="B120" s="12">
        <v>4</v>
      </c>
      <c r="C120" s="12">
        <v>6798</v>
      </c>
      <c r="D120" s="12" t="s">
        <v>139</v>
      </c>
      <c r="E120" s="12" t="s">
        <v>140</v>
      </c>
      <c r="F120" s="13">
        <v>15.13</v>
      </c>
      <c r="G120" s="12"/>
      <c r="H120" s="14" t="s">
        <v>141</v>
      </c>
      <c r="I120" s="15">
        <v>55</v>
      </c>
      <c r="J120" s="21">
        <v>0.8705</v>
      </c>
      <c r="K120" s="22">
        <f>F120*J120+0.005</f>
        <v>13.175665000000002</v>
      </c>
      <c r="L120" s="37">
        <v>359</v>
      </c>
    </row>
    <row r="121" spans="1:12" ht="12.75">
      <c r="A121" s="11"/>
      <c r="B121" s="12">
        <v>3</v>
      </c>
      <c r="C121" s="12">
        <v>5366</v>
      </c>
      <c r="D121" s="12" t="s">
        <v>137</v>
      </c>
      <c r="E121" s="12" t="s">
        <v>126</v>
      </c>
      <c r="F121" s="13">
        <v>14.56</v>
      </c>
      <c r="G121" s="12"/>
      <c r="H121" s="14" t="s">
        <v>138</v>
      </c>
      <c r="I121" s="15">
        <v>65</v>
      </c>
      <c r="J121" s="21">
        <v>0.9287</v>
      </c>
      <c r="K121" s="22">
        <f>F121*J121+0.005</f>
        <v>13.526872000000001</v>
      </c>
      <c r="L121" s="37">
        <v>296</v>
      </c>
    </row>
    <row r="122" spans="1:12" ht="12.75">
      <c r="A122" s="11" t="s">
        <v>145</v>
      </c>
      <c r="B122" s="12"/>
      <c r="C122" s="12"/>
      <c r="D122" s="12"/>
      <c r="E122" s="12"/>
      <c r="F122" s="13"/>
      <c r="G122" s="12"/>
      <c r="H122" s="14"/>
      <c r="I122" s="15"/>
      <c r="J122" s="21"/>
      <c r="K122" s="21"/>
      <c r="L122" s="37"/>
    </row>
    <row r="123" spans="1:12" ht="12.75">
      <c r="A123" s="11"/>
      <c r="B123" s="12">
        <v>3</v>
      </c>
      <c r="C123" s="12">
        <v>5826</v>
      </c>
      <c r="D123" s="12" t="s">
        <v>149</v>
      </c>
      <c r="E123" s="12" t="s">
        <v>150</v>
      </c>
      <c r="F123" s="13">
        <v>13.69</v>
      </c>
      <c r="G123" s="12"/>
      <c r="H123" s="14" t="s">
        <v>151</v>
      </c>
      <c r="I123" s="15">
        <v>51</v>
      </c>
      <c r="J123" s="21">
        <v>0.8414</v>
      </c>
      <c r="K123" s="22">
        <f>F123*J123+0.005</f>
        <v>11.523766</v>
      </c>
      <c r="L123" s="37">
        <v>739</v>
      </c>
    </row>
    <row r="124" spans="1:12" ht="12.75">
      <c r="A124" s="11"/>
      <c r="B124" s="12">
        <v>1</v>
      </c>
      <c r="C124" s="12">
        <v>4884</v>
      </c>
      <c r="D124" s="12" t="s">
        <v>146</v>
      </c>
      <c r="E124" s="12" t="s">
        <v>7</v>
      </c>
      <c r="F124" s="13">
        <v>12.81</v>
      </c>
      <c r="G124" s="12"/>
      <c r="H124" s="14" t="s">
        <v>138</v>
      </c>
      <c r="I124" s="15">
        <v>68</v>
      </c>
      <c r="J124" s="21">
        <v>0.9287</v>
      </c>
      <c r="K124" s="22">
        <f>F124*J124+0.005</f>
        <v>11.901647</v>
      </c>
      <c r="L124" s="37">
        <v>640</v>
      </c>
    </row>
    <row r="125" spans="1:12" ht="12.75">
      <c r="A125" s="11"/>
      <c r="B125" s="12">
        <v>2</v>
      </c>
      <c r="C125" s="12">
        <v>6254</v>
      </c>
      <c r="D125" s="12" t="s">
        <v>147</v>
      </c>
      <c r="E125" s="12" t="s">
        <v>10</v>
      </c>
      <c r="F125" s="13">
        <v>13.12</v>
      </c>
      <c r="G125" s="12"/>
      <c r="H125" s="14" t="s">
        <v>148</v>
      </c>
      <c r="I125" s="15">
        <v>72</v>
      </c>
      <c r="J125" s="21">
        <v>0.9578</v>
      </c>
      <c r="K125" s="22">
        <f>F125*J125+0.005</f>
        <v>12.571336</v>
      </c>
      <c r="L125" s="37">
        <v>483</v>
      </c>
    </row>
    <row r="126" spans="1:12" ht="12.75">
      <c r="A126" s="11"/>
      <c r="B126" s="12">
        <v>4</v>
      </c>
      <c r="C126" s="12">
        <v>9904</v>
      </c>
      <c r="D126" s="12" t="s">
        <v>152</v>
      </c>
      <c r="E126" s="12" t="s">
        <v>19</v>
      </c>
      <c r="F126" s="13">
        <v>13.97</v>
      </c>
      <c r="G126" s="12"/>
      <c r="H126" s="14" t="s">
        <v>136</v>
      </c>
      <c r="I126" s="15">
        <v>61</v>
      </c>
      <c r="J126" s="21">
        <v>0.8996</v>
      </c>
      <c r="K126" s="22">
        <f>F126*J126+0.005</f>
        <v>12.572412</v>
      </c>
      <c r="L126" s="37">
        <v>483</v>
      </c>
    </row>
    <row r="127" spans="1:12" ht="12.75">
      <c r="A127" s="11" t="s">
        <v>153</v>
      </c>
      <c r="B127" s="12"/>
      <c r="C127" s="12"/>
      <c r="D127" s="12"/>
      <c r="E127" s="12"/>
      <c r="F127" s="13"/>
      <c r="G127" s="12"/>
      <c r="H127" s="14"/>
      <c r="I127" s="15"/>
      <c r="J127" s="21"/>
      <c r="K127" s="21"/>
      <c r="L127" s="37"/>
    </row>
    <row r="128" spans="1:12" ht="12.75">
      <c r="A128" s="11"/>
      <c r="B128" s="12">
        <v>3</v>
      </c>
      <c r="C128" s="12">
        <v>5572</v>
      </c>
      <c r="D128" s="12" t="s">
        <v>157</v>
      </c>
      <c r="E128" s="12" t="s">
        <v>32</v>
      </c>
      <c r="F128" s="13">
        <v>12.59</v>
      </c>
      <c r="G128" s="12"/>
      <c r="H128" s="14" t="s">
        <v>138</v>
      </c>
      <c r="I128" s="15">
        <v>68</v>
      </c>
      <c r="J128" s="21">
        <v>0.9287</v>
      </c>
      <c r="K128" s="22">
        <f>F128*J128+0.005</f>
        <v>11.697333</v>
      </c>
      <c r="L128" s="37">
        <v>691</v>
      </c>
    </row>
    <row r="129" spans="1:12" ht="12.75">
      <c r="A129" s="11"/>
      <c r="B129" s="12">
        <v>4</v>
      </c>
      <c r="C129" s="12">
        <v>6498</v>
      </c>
      <c r="D129" s="12" t="s">
        <v>158</v>
      </c>
      <c r="E129" s="12" t="s">
        <v>159</v>
      </c>
      <c r="F129" s="13">
        <v>12.93</v>
      </c>
      <c r="G129" s="12"/>
      <c r="H129" s="14" t="s">
        <v>138</v>
      </c>
      <c r="I129" s="15">
        <v>69</v>
      </c>
      <c r="J129" s="21">
        <v>0.9287</v>
      </c>
      <c r="K129" s="22">
        <f>F129*J129+0.005</f>
        <v>12.013091</v>
      </c>
      <c r="L129" s="37">
        <v>613</v>
      </c>
    </row>
    <row r="130" spans="1:12" ht="12.75">
      <c r="A130" s="11"/>
      <c r="B130" s="12">
        <v>1</v>
      </c>
      <c r="C130" s="12">
        <v>6100</v>
      </c>
      <c r="D130" s="12" t="s">
        <v>154</v>
      </c>
      <c r="E130" s="12" t="s">
        <v>5</v>
      </c>
      <c r="F130" s="13">
        <v>12.19</v>
      </c>
      <c r="G130" s="12"/>
      <c r="H130" s="14" t="s">
        <v>155</v>
      </c>
      <c r="I130" s="15">
        <v>78</v>
      </c>
      <c r="J130" s="21">
        <v>0.9869</v>
      </c>
      <c r="K130" s="22">
        <f>F130*J130+0.005</f>
        <v>12.035311</v>
      </c>
      <c r="L130" s="37">
        <v>605</v>
      </c>
    </row>
    <row r="131" spans="1:12" ht="12.75">
      <c r="A131" s="11"/>
      <c r="B131" s="12">
        <v>2</v>
      </c>
      <c r="C131" s="12">
        <v>6257</v>
      </c>
      <c r="D131" s="12" t="s">
        <v>156</v>
      </c>
      <c r="E131" s="12" t="s">
        <v>10</v>
      </c>
      <c r="F131" s="13">
        <v>12.27</v>
      </c>
      <c r="G131" s="12"/>
      <c r="H131" s="14" t="s">
        <v>155</v>
      </c>
      <c r="I131" s="15">
        <v>78</v>
      </c>
      <c r="J131" s="21">
        <v>0.9869</v>
      </c>
      <c r="K131" s="22">
        <f>F131*J131+0.005</f>
        <v>12.114263000000001</v>
      </c>
      <c r="L131" s="37">
        <v>588</v>
      </c>
    </row>
    <row r="132" spans="1:12" ht="12.75">
      <c r="A132" s="11"/>
      <c r="B132" s="12"/>
      <c r="C132" s="12">
        <v>9901</v>
      </c>
      <c r="D132" s="12" t="s">
        <v>160</v>
      </c>
      <c r="E132" s="12" t="s">
        <v>19</v>
      </c>
      <c r="F132" s="13" t="s">
        <v>161</v>
      </c>
      <c r="G132" s="12"/>
      <c r="H132" s="14"/>
      <c r="I132" s="15">
        <v>73</v>
      </c>
      <c r="J132" s="21"/>
      <c r="K132" s="21"/>
      <c r="L132" s="37"/>
    </row>
    <row r="133" spans="1:12" ht="12.75">
      <c r="A133" s="11"/>
      <c r="B133" s="12"/>
      <c r="C133" s="12"/>
      <c r="D133" s="12"/>
      <c r="E133" s="12"/>
      <c r="F133" s="13"/>
      <c r="G133" s="12"/>
      <c r="H133" s="14"/>
      <c r="I133" s="15"/>
      <c r="J133" s="21"/>
      <c r="K133" s="21"/>
      <c r="L133" s="37"/>
    </row>
    <row r="134" spans="1:12" ht="12.75">
      <c r="A134" s="11" t="s">
        <v>412</v>
      </c>
      <c r="B134" s="12"/>
      <c r="C134" s="12"/>
      <c r="D134" s="12"/>
      <c r="E134" s="12"/>
      <c r="F134" s="13"/>
      <c r="G134" s="12"/>
      <c r="H134" s="14"/>
      <c r="I134" s="15"/>
      <c r="J134" s="21"/>
      <c r="K134" s="21"/>
      <c r="L134" s="37"/>
    </row>
    <row r="135" spans="1:12" ht="12.75">
      <c r="A135" s="11" t="s">
        <v>30</v>
      </c>
      <c r="B135" s="12"/>
      <c r="C135" s="12"/>
      <c r="D135" s="12"/>
      <c r="E135" s="12"/>
      <c r="F135" s="13"/>
      <c r="G135" s="12"/>
      <c r="H135" s="14"/>
      <c r="I135" s="15"/>
      <c r="J135" s="21"/>
      <c r="K135" s="21"/>
      <c r="L135" s="37"/>
    </row>
    <row r="136" spans="1:15" ht="12.75">
      <c r="A136" s="11"/>
      <c r="B136" s="12">
        <v>3</v>
      </c>
      <c r="C136" s="12">
        <v>6688</v>
      </c>
      <c r="D136" s="12" t="s">
        <v>166</v>
      </c>
      <c r="E136" s="12" t="s">
        <v>58</v>
      </c>
      <c r="F136" s="13" t="s">
        <v>167</v>
      </c>
      <c r="G136" s="12">
        <f>2*60+27.69</f>
        <v>147.69</v>
      </c>
      <c r="H136" s="14" t="s">
        <v>136</v>
      </c>
      <c r="I136" s="15">
        <v>63</v>
      </c>
      <c r="J136" s="21">
        <v>0.8847</v>
      </c>
      <c r="K136" s="21" t="s">
        <v>376</v>
      </c>
      <c r="L136" s="37">
        <v>521</v>
      </c>
      <c r="M136" s="5">
        <f aca="true" t="shared" si="15" ref="M136:M141">G136*J136</f>
        <v>130.66134300000002</v>
      </c>
      <c r="N136">
        <f aca="true" t="shared" si="16" ref="N136:N141">INT(M136/60)</f>
        <v>2</v>
      </c>
      <c r="O136" s="5">
        <f aca="true" t="shared" si="17" ref="O136:O141">M136-(N136*60)</f>
        <v>10.661343000000016</v>
      </c>
    </row>
    <row r="137" spans="1:15" ht="12.75">
      <c r="A137" s="11"/>
      <c r="B137" s="12">
        <v>1</v>
      </c>
      <c r="C137" s="12">
        <v>5929</v>
      </c>
      <c r="D137" s="12" t="s">
        <v>162</v>
      </c>
      <c r="E137" s="12" t="s">
        <v>5</v>
      </c>
      <c r="F137" s="13" t="s">
        <v>163</v>
      </c>
      <c r="G137" s="12">
        <f>2*60+23.76</f>
        <v>143.76</v>
      </c>
      <c r="H137" s="14" t="s">
        <v>148</v>
      </c>
      <c r="I137" s="15">
        <v>72</v>
      </c>
      <c r="J137" s="24">
        <v>0.956</v>
      </c>
      <c r="K137" s="21" t="s">
        <v>374</v>
      </c>
      <c r="L137" s="37">
        <v>393</v>
      </c>
      <c r="M137" s="5">
        <f t="shared" si="15"/>
        <v>137.43455999999998</v>
      </c>
      <c r="N137">
        <f t="shared" si="16"/>
        <v>2</v>
      </c>
      <c r="O137" s="5">
        <f t="shared" si="17"/>
        <v>17.434559999999976</v>
      </c>
    </row>
    <row r="138" spans="1:15" ht="12.75">
      <c r="A138" s="11"/>
      <c r="B138" s="12">
        <v>2</v>
      </c>
      <c r="C138" s="12">
        <v>5528</v>
      </c>
      <c r="D138" s="12" t="s">
        <v>164</v>
      </c>
      <c r="E138" s="12" t="s">
        <v>7</v>
      </c>
      <c r="F138" s="13" t="s">
        <v>165</v>
      </c>
      <c r="G138" s="12">
        <f>2*60+25.34</f>
        <v>145.34</v>
      </c>
      <c r="H138" s="14" t="s">
        <v>148</v>
      </c>
      <c r="I138" s="15">
        <v>71</v>
      </c>
      <c r="J138" s="24">
        <v>0.956</v>
      </c>
      <c r="K138" s="21" t="s">
        <v>375</v>
      </c>
      <c r="L138" s="37">
        <v>366</v>
      </c>
      <c r="M138" s="5">
        <f t="shared" si="15"/>
        <v>138.94504</v>
      </c>
      <c r="N138">
        <f t="shared" si="16"/>
        <v>2</v>
      </c>
      <c r="O138" s="5">
        <f t="shared" si="17"/>
        <v>18.945040000000006</v>
      </c>
    </row>
    <row r="139" spans="1:15" ht="12.75">
      <c r="A139" s="11"/>
      <c r="B139" s="12">
        <v>6</v>
      </c>
      <c r="C139" s="12">
        <v>5774</v>
      </c>
      <c r="D139" s="12" t="s">
        <v>172</v>
      </c>
      <c r="E139" s="12" t="s">
        <v>32</v>
      </c>
      <c r="F139" s="13" t="s">
        <v>173</v>
      </c>
      <c r="G139" s="12">
        <f>3*60+7.84</f>
        <v>187.84</v>
      </c>
      <c r="H139" s="14" t="s">
        <v>144</v>
      </c>
      <c r="I139" s="15">
        <v>44</v>
      </c>
      <c r="J139" s="24">
        <v>0.742</v>
      </c>
      <c r="K139" s="21" t="s">
        <v>379</v>
      </c>
      <c r="L139" s="37">
        <v>359</v>
      </c>
      <c r="M139" s="5">
        <f t="shared" si="15"/>
        <v>139.37728</v>
      </c>
      <c r="N139">
        <f t="shared" si="16"/>
        <v>2</v>
      </c>
      <c r="O139" s="5">
        <f t="shared" si="17"/>
        <v>19.377280000000013</v>
      </c>
    </row>
    <row r="140" spans="1:15" ht="12.75">
      <c r="A140" s="11"/>
      <c r="B140" s="12">
        <v>4</v>
      </c>
      <c r="C140" s="12">
        <v>6947</v>
      </c>
      <c r="D140" s="12" t="s">
        <v>168</v>
      </c>
      <c r="E140" s="12" t="s">
        <v>15</v>
      </c>
      <c r="F140" s="13" t="s">
        <v>169</v>
      </c>
      <c r="G140" s="12">
        <f>2*60+42.49</f>
        <v>162.49</v>
      </c>
      <c r="H140" s="14" t="s">
        <v>136</v>
      </c>
      <c r="I140" s="15">
        <v>62</v>
      </c>
      <c r="J140" s="21">
        <v>0.8847</v>
      </c>
      <c r="K140" s="21" t="s">
        <v>377</v>
      </c>
      <c r="L140" s="37">
        <v>289</v>
      </c>
      <c r="M140" s="5">
        <f t="shared" si="15"/>
        <v>143.754903</v>
      </c>
      <c r="N140">
        <f t="shared" si="16"/>
        <v>2</v>
      </c>
      <c r="O140" s="5">
        <f t="shared" si="17"/>
        <v>23.754903000000013</v>
      </c>
    </row>
    <row r="141" spans="1:15" ht="12.75">
      <c r="A141" s="11"/>
      <c r="B141" s="12">
        <v>5</v>
      </c>
      <c r="C141" s="12">
        <v>5162</v>
      </c>
      <c r="D141" s="12" t="s">
        <v>170</v>
      </c>
      <c r="E141" s="12" t="s">
        <v>35</v>
      </c>
      <c r="F141" s="13" t="s">
        <v>171</v>
      </c>
      <c r="G141" s="12">
        <f>3*60+6.63</f>
        <v>186.63</v>
      </c>
      <c r="H141" s="14" t="s">
        <v>151</v>
      </c>
      <c r="I141" s="15">
        <v>52</v>
      </c>
      <c r="J141" s="21">
        <v>0.8133</v>
      </c>
      <c r="K141" s="21" t="s">
        <v>378</v>
      </c>
      <c r="L141" s="37">
        <v>180</v>
      </c>
      <c r="M141" s="5">
        <f t="shared" si="15"/>
        <v>151.786179</v>
      </c>
      <c r="N141">
        <f t="shared" si="16"/>
        <v>2</v>
      </c>
      <c r="O141" s="5">
        <f t="shared" si="17"/>
        <v>31.786179000000004</v>
      </c>
    </row>
    <row r="142" spans="1:15" ht="12.75">
      <c r="A142" s="11" t="s">
        <v>174</v>
      </c>
      <c r="B142" s="12"/>
      <c r="C142" s="12"/>
      <c r="D142" s="12"/>
      <c r="E142" s="12"/>
      <c r="F142" s="13"/>
      <c r="G142" s="12"/>
      <c r="H142" s="14"/>
      <c r="I142" s="15"/>
      <c r="J142" s="21"/>
      <c r="K142" s="21"/>
      <c r="L142" s="37"/>
      <c r="O142" s="5"/>
    </row>
    <row r="143" spans="1:15" ht="12.75">
      <c r="A143" s="11"/>
      <c r="B143" s="12">
        <v>2</v>
      </c>
      <c r="C143" s="12">
        <v>4750</v>
      </c>
      <c r="D143" s="12" t="s">
        <v>177</v>
      </c>
      <c r="E143" s="12" t="s">
        <v>58</v>
      </c>
      <c r="F143" s="13" t="s">
        <v>178</v>
      </c>
      <c r="G143" s="12">
        <f>2*60+15.27</f>
        <v>135.27</v>
      </c>
      <c r="H143" s="14" t="s">
        <v>136</v>
      </c>
      <c r="I143" s="15">
        <v>64</v>
      </c>
      <c r="J143" s="21">
        <v>0.8847</v>
      </c>
      <c r="K143" s="21" t="s">
        <v>385</v>
      </c>
      <c r="L143" s="37">
        <v>768</v>
      </c>
      <c r="M143" s="5">
        <f aca="true" t="shared" si="18" ref="M143:M149">G143*J143</f>
        <v>119.67336900000001</v>
      </c>
      <c r="N143">
        <f aca="true" t="shared" si="19" ref="N143:N149">INT(M143/60)</f>
        <v>1</v>
      </c>
      <c r="O143" s="5">
        <f aca="true" t="shared" si="20" ref="O143:O149">M143-(N143*60)</f>
        <v>59.67336900000001</v>
      </c>
    </row>
    <row r="144" spans="1:15" ht="12.75">
      <c r="A144" s="11"/>
      <c r="B144" s="12">
        <v>1</v>
      </c>
      <c r="C144" s="12">
        <v>6776</v>
      </c>
      <c r="D144" s="12" t="s">
        <v>175</v>
      </c>
      <c r="E144" s="12" t="s">
        <v>35</v>
      </c>
      <c r="F144" s="13" t="s">
        <v>176</v>
      </c>
      <c r="G144" s="17">
        <f>2*60+7.6</f>
        <v>127.6</v>
      </c>
      <c r="H144" s="14" t="s">
        <v>148</v>
      </c>
      <c r="I144" s="15">
        <v>74</v>
      </c>
      <c r="J144" s="24">
        <v>0.956</v>
      </c>
      <c r="K144" s="21" t="s">
        <v>382</v>
      </c>
      <c r="L144" s="37">
        <v>713</v>
      </c>
      <c r="M144" s="5">
        <f t="shared" si="18"/>
        <v>121.98559999999999</v>
      </c>
      <c r="N144">
        <f t="shared" si="19"/>
        <v>2</v>
      </c>
      <c r="O144" s="5">
        <f t="shared" si="20"/>
        <v>1.985599999999991</v>
      </c>
    </row>
    <row r="145" spans="1:15" ht="12.75">
      <c r="A145" s="11"/>
      <c r="B145" s="12">
        <v>6</v>
      </c>
      <c r="C145" s="12">
        <v>5470</v>
      </c>
      <c r="D145" s="12" t="s">
        <v>186</v>
      </c>
      <c r="E145" s="12" t="s">
        <v>184</v>
      </c>
      <c r="F145" s="13" t="s">
        <v>187</v>
      </c>
      <c r="G145" s="17">
        <f>2*60+25.3</f>
        <v>145.3</v>
      </c>
      <c r="H145" s="14" t="s">
        <v>148</v>
      </c>
      <c r="I145" s="15">
        <v>63</v>
      </c>
      <c r="J145" s="21">
        <v>0.8847</v>
      </c>
      <c r="K145" s="21" t="s">
        <v>386</v>
      </c>
      <c r="L145" s="37">
        <v>565</v>
      </c>
      <c r="M145" s="5">
        <f t="shared" si="18"/>
        <v>128.54691000000003</v>
      </c>
      <c r="N145">
        <f t="shared" si="19"/>
        <v>2</v>
      </c>
      <c r="O145" s="5">
        <f t="shared" si="20"/>
        <v>8.546910000000025</v>
      </c>
    </row>
    <row r="146" spans="1:15" ht="12.75">
      <c r="A146" s="11"/>
      <c r="B146" s="12">
        <v>4</v>
      </c>
      <c r="C146" s="12">
        <v>5620</v>
      </c>
      <c r="D146" s="12" t="s">
        <v>181</v>
      </c>
      <c r="E146" s="12" t="s">
        <v>40</v>
      </c>
      <c r="F146" s="13" t="s">
        <v>182</v>
      </c>
      <c r="G146" s="12">
        <f>2*60+20.21</f>
        <v>140.21</v>
      </c>
      <c r="H146" s="14" t="s">
        <v>144</v>
      </c>
      <c r="I146" s="15">
        <v>67</v>
      </c>
      <c r="J146" s="21">
        <v>0.9203</v>
      </c>
      <c r="K146" s="21" t="s">
        <v>384</v>
      </c>
      <c r="L146" s="37">
        <v>555</v>
      </c>
      <c r="M146" s="5">
        <f t="shared" si="18"/>
        <v>129.03526300000001</v>
      </c>
      <c r="N146">
        <f t="shared" si="19"/>
        <v>2</v>
      </c>
      <c r="O146" s="5">
        <f t="shared" si="20"/>
        <v>9.035263000000015</v>
      </c>
    </row>
    <row r="147" spans="1:15" ht="12.75">
      <c r="A147" s="11"/>
      <c r="B147" s="12">
        <v>5</v>
      </c>
      <c r="C147" s="12">
        <v>5265</v>
      </c>
      <c r="D147" s="12" t="s">
        <v>183</v>
      </c>
      <c r="E147" s="12" t="s">
        <v>184</v>
      </c>
      <c r="F147" s="13" t="s">
        <v>185</v>
      </c>
      <c r="G147" s="12">
        <f>2*60+20.77</f>
        <v>140.77</v>
      </c>
      <c r="H147" s="14" t="s">
        <v>136</v>
      </c>
      <c r="I147" s="15">
        <v>74</v>
      </c>
      <c r="J147" s="24">
        <v>0.956</v>
      </c>
      <c r="K147" s="21" t="s">
        <v>383</v>
      </c>
      <c r="L147" s="37">
        <v>445</v>
      </c>
      <c r="M147" s="5">
        <f t="shared" si="18"/>
        <v>134.57612</v>
      </c>
      <c r="N147">
        <f t="shared" si="19"/>
        <v>2</v>
      </c>
      <c r="O147" s="5">
        <f t="shared" si="20"/>
        <v>14.576120000000003</v>
      </c>
    </row>
    <row r="148" spans="1:15" ht="12.75">
      <c r="A148" s="11"/>
      <c r="B148" s="12">
        <v>3</v>
      </c>
      <c r="C148" s="12">
        <v>6994</v>
      </c>
      <c r="D148" s="12" t="s">
        <v>179</v>
      </c>
      <c r="E148" s="12" t="s">
        <v>35</v>
      </c>
      <c r="F148" s="13" t="s">
        <v>180</v>
      </c>
      <c r="G148" s="12">
        <f>2*60+16.78</f>
        <v>136.78</v>
      </c>
      <c r="H148" s="14" t="s">
        <v>151</v>
      </c>
      <c r="I148" s="15">
        <v>79</v>
      </c>
      <c r="J148" s="21">
        <v>0.9917</v>
      </c>
      <c r="K148" s="21" t="s">
        <v>380</v>
      </c>
      <c r="L148" s="37">
        <v>425</v>
      </c>
      <c r="M148" s="5">
        <f t="shared" si="18"/>
        <v>135.644726</v>
      </c>
      <c r="N148">
        <f t="shared" si="19"/>
        <v>2</v>
      </c>
      <c r="O148" s="5">
        <f t="shared" si="20"/>
        <v>15.644725999999991</v>
      </c>
    </row>
    <row r="149" spans="1:15" ht="12.75">
      <c r="A149" s="11"/>
      <c r="B149" s="12">
        <v>7</v>
      </c>
      <c r="C149" s="12">
        <v>6877</v>
      </c>
      <c r="D149" s="12" t="s">
        <v>188</v>
      </c>
      <c r="E149" s="12" t="s">
        <v>189</v>
      </c>
      <c r="F149" s="13" t="s">
        <v>190</v>
      </c>
      <c r="G149" s="12">
        <f>2*60+30.35</f>
        <v>150.35</v>
      </c>
      <c r="H149" s="14" t="s">
        <v>155</v>
      </c>
      <c r="I149" s="15">
        <v>78</v>
      </c>
      <c r="J149" s="21">
        <v>0.9917</v>
      </c>
      <c r="K149" s="21" t="s">
        <v>381</v>
      </c>
      <c r="L149" s="37">
        <v>214</v>
      </c>
      <c r="M149" s="5">
        <f t="shared" si="18"/>
        <v>149.102095</v>
      </c>
      <c r="N149">
        <f t="shared" si="19"/>
        <v>2</v>
      </c>
      <c r="O149" s="5">
        <f t="shared" si="20"/>
        <v>29.10209499999999</v>
      </c>
    </row>
    <row r="150" spans="1:12" ht="12.75">
      <c r="A150" s="11"/>
      <c r="B150" s="12"/>
      <c r="C150" s="12"/>
      <c r="D150" s="12"/>
      <c r="E150" s="12"/>
      <c r="F150" s="13"/>
      <c r="G150" s="12"/>
      <c r="H150" s="14"/>
      <c r="I150" s="15"/>
      <c r="J150" s="21"/>
      <c r="K150" s="21"/>
      <c r="L150" s="37"/>
    </row>
    <row r="151" spans="1:12" ht="12.75">
      <c r="A151" s="11" t="s">
        <v>413</v>
      </c>
      <c r="B151" s="12"/>
      <c r="C151" s="12"/>
      <c r="D151" s="12"/>
      <c r="E151" s="12"/>
      <c r="F151" s="13"/>
      <c r="G151" s="12"/>
      <c r="H151" s="14"/>
      <c r="I151" s="15"/>
      <c r="J151" s="21"/>
      <c r="K151" s="21"/>
      <c r="L151" s="37"/>
    </row>
    <row r="152" spans="1:12" ht="12.75">
      <c r="A152" s="11" t="s">
        <v>30</v>
      </c>
      <c r="B152" s="12"/>
      <c r="C152" s="12"/>
      <c r="D152" s="12"/>
      <c r="E152" s="12"/>
      <c r="F152" s="13"/>
      <c r="G152" s="12"/>
      <c r="H152" s="14"/>
      <c r="I152" s="15"/>
      <c r="J152" s="21"/>
      <c r="K152" s="21"/>
      <c r="L152" s="37"/>
    </row>
    <row r="153" spans="1:12" ht="12.75">
      <c r="A153" s="11"/>
      <c r="B153" s="12">
        <v>1</v>
      </c>
      <c r="C153" s="12">
        <v>6549</v>
      </c>
      <c r="D153" s="12" t="s">
        <v>191</v>
      </c>
      <c r="E153" s="12" t="s">
        <v>2</v>
      </c>
      <c r="F153" s="16">
        <v>49</v>
      </c>
      <c r="G153" s="12"/>
      <c r="H153" s="14" t="s">
        <v>151</v>
      </c>
      <c r="I153" s="15">
        <v>51</v>
      </c>
      <c r="J153" s="21">
        <f>(0.8332+0.8154)/2</f>
        <v>0.8243</v>
      </c>
      <c r="K153" s="22">
        <f>F153*J153+0.005</f>
        <v>40.395700000000005</v>
      </c>
      <c r="L153" s="37">
        <v>516</v>
      </c>
    </row>
    <row r="154" spans="1:12" ht="12.75">
      <c r="A154" s="11"/>
      <c r="B154" s="12">
        <v>2</v>
      </c>
      <c r="C154" s="12">
        <v>5402</v>
      </c>
      <c r="D154" s="12" t="s">
        <v>142</v>
      </c>
      <c r="E154" s="12" t="s">
        <v>143</v>
      </c>
      <c r="F154" s="13">
        <v>53.89</v>
      </c>
      <c r="G154" s="12"/>
      <c r="H154" s="14" t="s">
        <v>144</v>
      </c>
      <c r="I154" s="15">
        <v>43</v>
      </c>
      <c r="J154" s="21">
        <f>(0.7642+0.746)/2</f>
        <v>0.7551</v>
      </c>
      <c r="K154" s="22">
        <f>F154*J154+0.005</f>
        <v>40.697339</v>
      </c>
      <c r="L154" s="37">
        <v>498</v>
      </c>
    </row>
    <row r="155" spans="1:12" ht="12.75">
      <c r="A155" s="11"/>
      <c r="B155" s="12">
        <v>3</v>
      </c>
      <c r="C155" s="12">
        <v>5774</v>
      </c>
      <c r="D155" s="12" t="s">
        <v>172</v>
      </c>
      <c r="E155" s="12" t="s">
        <v>32</v>
      </c>
      <c r="F155" s="13">
        <v>62.62</v>
      </c>
      <c r="G155" s="12"/>
      <c r="H155" s="14" t="s">
        <v>144</v>
      </c>
      <c r="I155" s="15">
        <v>44</v>
      </c>
      <c r="J155" s="21">
        <f>(0.7642+0.746)/2</f>
        <v>0.7551</v>
      </c>
      <c r="K155" s="22">
        <f>F155*J155+0.005</f>
        <v>47.289362</v>
      </c>
      <c r="L155" s="37">
        <v>179</v>
      </c>
    </row>
    <row r="156" spans="1:12" ht="12.75">
      <c r="A156" s="11" t="s">
        <v>174</v>
      </c>
      <c r="B156" s="12"/>
      <c r="C156" s="12"/>
      <c r="D156" s="12"/>
      <c r="E156" s="12"/>
      <c r="F156" s="13"/>
      <c r="G156" s="12"/>
      <c r="H156" s="14"/>
      <c r="I156" s="15"/>
      <c r="J156" s="21"/>
      <c r="K156" s="21"/>
      <c r="L156" s="37"/>
    </row>
    <row r="157" spans="1:12" ht="12.75">
      <c r="A157" s="11"/>
      <c r="B157" s="12">
        <v>4</v>
      </c>
      <c r="C157" s="12">
        <v>5826</v>
      </c>
      <c r="D157" s="12" t="s">
        <v>149</v>
      </c>
      <c r="E157" s="12" t="s">
        <v>150</v>
      </c>
      <c r="F157" s="13">
        <v>44.79</v>
      </c>
      <c r="G157" s="12"/>
      <c r="H157" s="14" t="s">
        <v>151</v>
      </c>
      <c r="I157" s="15">
        <v>51</v>
      </c>
      <c r="J157" s="21">
        <f>(0.8332+0.8154)/2</f>
        <v>0.8243</v>
      </c>
      <c r="K157" s="22">
        <f>F157*J157+0.005</f>
        <v>36.925397000000004</v>
      </c>
      <c r="L157" s="37">
        <v>751</v>
      </c>
    </row>
    <row r="158" spans="1:12" ht="12.75">
      <c r="A158" s="11"/>
      <c r="B158" s="12">
        <v>1</v>
      </c>
      <c r="C158" s="12">
        <v>4884</v>
      </c>
      <c r="D158" s="12" t="s">
        <v>146</v>
      </c>
      <c r="E158" s="12" t="s">
        <v>7</v>
      </c>
      <c r="F158" s="13">
        <v>40.96</v>
      </c>
      <c r="G158" s="12"/>
      <c r="H158" s="14" t="s">
        <v>138</v>
      </c>
      <c r="I158" s="15">
        <v>68</v>
      </c>
      <c r="J158" s="21">
        <f>(0.9235+0.9054)/2</f>
        <v>0.91445</v>
      </c>
      <c r="K158" s="22">
        <f>F158*J158+0.005</f>
        <v>37.460872</v>
      </c>
      <c r="L158" s="37">
        <v>713</v>
      </c>
    </row>
    <row r="159" spans="1:12" ht="12.75">
      <c r="A159" s="11"/>
      <c r="B159" s="12">
        <v>2</v>
      </c>
      <c r="C159" s="12">
        <v>6179</v>
      </c>
      <c r="D159" s="12" t="s">
        <v>135</v>
      </c>
      <c r="E159" s="12" t="s">
        <v>22</v>
      </c>
      <c r="F159" s="13">
        <v>43.73</v>
      </c>
      <c r="G159" s="12"/>
      <c r="H159" s="14" t="s">
        <v>136</v>
      </c>
      <c r="I159" s="15">
        <v>65</v>
      </c>
      <c r="J159" s="21">
        <f>(0.8934+0.8754)/2</f>
        <v>0.8844</v>
      </c>
      <c r="K159" s="22">
        <f>F159*J159+0.005</f>
        <v>38.679812</v>
      </c>
      <c r="L159" s="37">
        <v>627</v>
      </c>
    </row>
    <row r="160" spans="1:12" ht="12.75">
      <c r="A160" s="11"/>
      <c r="B160" s="12">
        <v>3</v>
      </c>
      <c r="C160" s="12">
        <v>6268</v>
      </c>
      <c r="D160" s="12" t="s">
        <v>192</v>
      </c>
      <c r="E160" s="12" t="s">
        <v>32</v>
      </c>
      <c r="F160" s="13">
        <v>44.44</v>
      </c>
      <c r="G160" s="12"/>
      <c r="H160" s="14" t="s">
        <v>138</v>
      </c>
      <c r="I160" s="15">
        <v>69</v>
      </c>
      <c r="J160" s="21">
        <f>(0.9235+0.9054)/2</f>
        <v>0.91445</v>
      </c>
      <c r="K160" s="22">
        <f>F160*J160+0.005</f>
        <v>40.643158</v>
      </c>
      <c r="L160" s="37">
        <v>501</v>
      </c>
    </row>
    <row r="161" spans="1:12" ht="12.75">
      <c r="A161" s="11"/>
      <c r="B161" s="12"/>
      <c r="C161" s="12">
        <v>9901</v>
      </c>
      <c r="D161" s="12" t="s">
        <v>160</v>
      </c>
      <c r="E161" s="12" t="s">
        <v>19</v>
      </c>
      <c r="F161" s="13" t="s">
        <v>161</v>
      </c>
      <c r="G161" s="12"/>
      <c r="H161" s="14"/>
      <c r="I161" s="15">
        <v>73</v>
      </c>
      <c r="J161" s="21"/>
      <c r="K161" s="21"/>
      <c r="L161" s="37"/>
    </row>
    <row r="162" spans="1:12" ht="12.75">
      <c r="A162" s="11" t="s">
        <v>193</v>
      </c>
      <c r="B162" s="12"/>
      <c r="C162" s="12"/>
      <c r="D162" s="12"/>
      <c r="E162" s="12"/>
      <c r="F162" s="13"/>
      <c r="G162" s="12"/>
      <c r="H162" s="14"/>
      <c r="I162" s="15"/>
      <c r="J162" s="21"/>
      <c r="K162" s="21"/>
      <c r="L162" s="37"/>
    </row>
    <row r="163" spans="1:12" ht="12.75">
      <c r="A163" s="11"/>
      <c r="B163" s="12">
        <v>2</v>
      </c>
      <c r="C163" s="12">
        <v>6258</v>
      </c>
      <c r="D163" s="12" t="s">
        <v>195</v>
      </c>
      <c r="E163" s="12" t="s">
        <v>10</v>
      </c>
      <c r="F163" s="13">
        <v>42.32</v>
      </c>
      <c r="G163" s="12"/>
      <c r="H163" s="14" t="s">
        <v>136</v>
      </c>
      <c r="I163" s="15">
        <v>64</v>
      </c>
      <c r="J163" s="21">
        <f>(0.8934+0.8754)/2</f>
        <v>0.8844</v>
      </c>
      <c r="K163" s="22">
        <f>F163*J163+0.005</f>
        <v>37.432808</v>
      </c>
      <c r="L163" s="37">
        <v>715</v>
      </c>
    </row>
    <row r="164" spans="1:12" ht="12.75">
      <c r="A164" s="11"/>
      <c r="B164" s="12">
        <v>3</v>
      </c>
      <c r="C164" s="12">
        <v>5157</v>
      </c>
      <c r="D164" s="12" t="s">
        <v>196</v>
      </c>
      <c r="E164" s="12" t="s">
        <v>35</v>
      </c>
      <c r="F164" s="13">
        <v>42.51</v>
      </c>
      <c r="G164" s="12"/>
      <c r="H164" s="14" t="s">
        <v>136</v>
      </c>
      <c r="I164" s="15">
        <v>64</v>
      </c>
      <c r="J164" s="21">
        <f>(0.8934+0.8754)/2</f>
        <v>0.8844</v>
      </c>
      <c r="K164" s="22">
        <f>F164*J164+0.005</f>
        <v>37.600844</v>
      </c>
      <c r="L164" s="37">
        <v>703</v>
      </c>
    </row>
    <row r="165" spans="1:12" ht="12.75">
      <c r="A165" s="11"/>
      <c r="B165" s="12">
        <v>4</v>
      </c>
      <c r="C165" s="12">
        <v>4750</v>
      </c>
      <c r="D165" s="12" t="s">
        <v>177</v>
      </c>
      <c r="E165" s="12" t="s">
        <v>58</v>
      </c>
      <c r="F165" s="13">
        <v>42.56</v>
      </c>
      <c r="G165" s="12"/>
      <c r="H165" s="14" t="s">
        <v>136</v>
      </c>
      <c r="I165" s="15">
        <v>64</v>
      </c>
      <c r="J165" s="21">
        <f>(0.8934+0.8754)/2</f>
        <v>0.8844</v>
      </c>
      <c r="K165" s="22">
        <f>F165*J165+0.005</f>
        <v>37.645064000000005</v>
      </c>
      <c r="L165" s="37">
        <v>699</v>
      </c>
    </row>
    <row r="166" spans="1:12" ht="12.75">
      <c r="A166" s="11"/>
      <c r="B166" s="12">
        <v>1</v>
      </c>
      <c r="C166" s="12">
        <v>5364</v>
      </c>
      <c r="D166" s="12" t="s">
        <v>194</v>
      </c>
      <c r="E166" s="12" t="s">
        <v>58</v>
      </c>
      <c r="F166" s="13">
        <v>42.12</v>
      </c>
      <c r="G166" s="12"/>
      <c r="H166" s="14" t="s">
        <v>138</v>
      </c>
      <c r="I166" s="15">
        <v>65</v>
      </c>
      <c r="J166" s="21">
        <f>(0.9235+0.9054)/2</f>
        <v>0.91445</v>
      </c>
      <c r="K166" s="22">
        <f>F166*J166+0.005</f>
        <v>38.521634</v>
      </c>
      <c r="L166" s="37">
        <v>638</v>
      </c>
    </row>
    <row r="167" spans="1:12" ht="12.75">
      <c r="A167" s="11"/>
      <c r="B167" s="12">
        <v>5</v>
      </c>
      <c r="C167" s="12">
        <v>9904</v>
      </c>
      <c r="D167" s="12" t="s">
        <v>152</v>
      </c>
      <c r="E167" s="12" t="s">
        <v>19</v>
      </c>
      <c r="F167" s="13">
        <v>43.79</v>
      </c>
      <c r="G167" s="12"/>
      <c r="H167" s="14" t="s">
        <v>136</v>
      </c>
      <c r="I167" s="15">
        <v>61</v>
      </c>
      <c r="J167" s="21">
        <f>(0.8934+0.8754)/2</f>
        <v>0.8844</v>
      </c>
      <c r="K167" s="22">
        <f>F167*J167+0.005</f>
        <v>38.732876</v>
      </c>
      <c r="L167" s="37">
        <v>624</v>
      </c>
    </row>
    <row r="168" spans="1:12" ht="12.75">
      <c r="A168" s="11" t="s">
        <v>197</v>
      </c>
      <c r="B168" s="12"/>
      <c r="C168" s="12"/>
      <c r="D168" s="12"/>
      <c r="E168" s="12"/>
      <c r="F168" s="13"/>
      <c r="G168" s="12"/>
      <c r="H168" s="14"/>
      <c r="I168" s="15"/>
      <c r="J168" s="21"/>
      <c r="K168" s="21"/>
      <c r="L168" s="37"/>
    </row>
    <row r="169" spans="1:12" ht="12.75">
      <c r="A169" s="11"/>
      <c r="B169" s="12">
        <v>4</v>
      </c>
      <c r="C169" s="12">
        <v>6295</v>
      </c>
      <c r="D169" s="12" t="s">
        <v>202</v>
      </c>
      <c r="E169" s="12" t="s">
        <v>5</v>
      </c>
      <c r="F169" s="13">
        <v>40.69</v>
      </c>
      <c r="G169" s="12"/>
      <c r="H169" s="14" t="s">
        <v>136</v>
      </c>
      <c r="I169" s="15">
        <v>63</v>
      </c>
      <c r="J169" s="21">
        <f>(0.8934+0.8754)/2</f>
        <v>0.8844</v>
      </c>
      <c r="K169" s="22">
        <f aca="true" t="shared" si="21" ref="K169:K174">F169*J169+0.005</f>
        <v>35.991236</v>
      </c>
      <c r="L169" s="37">
        <v>823</v>
      </c>
    </row>
    <row r="170" spans="1:12" ht="12.75">
      <c r="A170" s="11"/>
      <c r="B170" s="12">
        <v>3</v>
      </c>
      <c r="C170" s="12">
        <v>6624</v>
      </c>
      <c r="D170" s="12" t="s">
        <v>200</v>
      </c>
      <c r="E170" s="12" t="s">
        <v>201</v>
      </c>
      <c r="F170" s="13">
        <v>39.36</v>
      </c>
      <c r="G170" s="12"/>
      <c r="H170" s="14" t="s">
        <v>138</v>
      </c>
      <c r="I170" s="15">
        <v>66</v>
      </c>
      <c r="J170" s="21">
        <f>(0.9235+0.9054)/2</f>
        <v>0.91445</v>
      </c>
      <c r="K170" s="22">
        <f t="shared" si="21"/>
        <v>35.997752</v>
      </c>
      <c r="L170" s="37">
        <v>822</v>
      </c>
    </row>
    <row r="171" spans="1:12" ht="12.75">
      <c r="A171" s="11"/>
      <c r="B171" s="12">
        <v>1</v>
      </c>
      <c r="C171" s="12">
        <v>5712</v>
      </c>
      <c r="D171" s="12" t="s">
        <v>198</v>
      </c>
      <c r="E171" s="12" t="s">
        <v>22</v>
      </c>
      <c r="F171" s="13">
        <v>38.28</v>
      </c>
      <c r="G171" s="12"/>
      <c r="H171" s="14" t="s">
        <v>148</v>
      </c>
      <c r="I171" s="15">
        <v>70</v>
      </c>
      <c r="J171" s="21">
        <f>(0.9536+0.9354)/2</f>
        <v>0.9445</v>
      </c>
      <c r="K171" s="22">
        <f t="shared" si="21"/>
        <v>36.16046</v>
      </c>
      <c r="L171" s="37">
        <v>810</v>
      </c>
    </row>
    <row r="172" spans="1:12" ht="12.75">
      <c r="A172" s="11"/>
      <c r="B172" s="12">
        <v>2</v>
      </c>
      <c r="C172" s="12">
        <v>6597</v>
      </c>
      <c r="D172" s="12" t="s">
        <v>199</v>
      </c>
      <c r="E172" s="12" t="s">
        <v>35</v>
      </c>
      <c r="F172" s="13">
        <v>39.11</v>
      </c>
      <c r="G172" s="12"/>
      <c r="H172" s="14" t="s">
        <v>148</v>
      </c>
      <c r="I172" s="15">
        <v>75</v>
      </c>
      <c r="J172" s="21">
        <f>(0.9536+0.9354)/2</f>
        <v>0.9445</v>
      </c>
      <c r="K172" s="22">
        <f t="shared" si="21"/>
        <v>36.944395</v>
      </c>
      <c r="L172" s="37">
        <v>751</v>
      </c>
    </row>
    <row r="173" spans="1:12" ht="12.75">
      <c r="A173" s="11"/>
      <c r="B173" s="12">
        <v>5</v>
      </c>
      <c r="C173" s="12">
        <v>6398</v>
      </c>
      <c r="D173" s="12" t="s">
        <v>203</v>
      </c>
      <c r="E173" s="12" t="s">
        <v>201</v>
      </c>
      <c r="F173" s="13">
        <v>41.09</v>
      </c>
      <c r="G173" s="12"/>
      <c r="H173" s="14" t="s">
        <v>148</v>
      </c>
      <c r="I173" s="15">
        <v>70</v>
      </c>
      <c r="J173" s="21">
        <f>(0.9536+0.9354)/2</f>
        <v>0.9445</v>
      </c>
      <c r="K173" s="22">
        <f t="shared" si="21"/>
        <v>38.814505000000004</v>
      </c>
      <c r="L173" s="37">
        <v>618</v>
      </c>
    </row>
    <row r="174" spans="1:12" ht="12.75">
      <c r="A174" s="11"/>
      <c r="B174" s="12">
        <v>6</v>
      </c>
      <c r="C174" s="12">
        <v>6498</v>
      </c>
      <c r="D174" s="12" t="s">
        <v>158</v>
      </c>
      <c r="E174" s="12" t="s">
        <v>159</v>
      </c>
      <c r="F174" s="13">
        <v>42.69</v>
      </c>
      <c r="G174" s="12"/>
      <c r="H174" s="14" t="s">
        <v>138</v>
      </c>
      <c r="I174" s="15">
        <v>69</v>
      </c>
      <c r="J174" s="21">
        <f>(0.9235+0.9054)/2</f>
        <v>0.91445</v>
      </c>
      <c r="K174" s="22">
        <f t="shared" si="21"/>
        <v>39.0428705</v>
      </c>
      <c r="L174" s="37">
        <v>603</v>
      </c>
    </row>
    <row r="175" spans="1:12" ht="12.75">
      <c r="A175" s="11"/>
      <c r="B175" s="12"/>
      <c r="C175" s="12"/>
      <c r="D175" s="12"/>
      <c r="E175" s="12"/>
      <c r="F175" s="13"/>
      <c r="G175" s="12"/>
      <c r="H175" s="14"/>
      <c r="I175" s="15"/>
      <c r="J175" s="21"/>
      <c r="K175" s="21"/>
      <c r="L175" s="37"/>
    </row>
    <row r="176" spans="1:12" ht="12.75">
      <c r="A176" s="11" t="s">
        <v>414</v>
      </c>
      <c r="B176" s="12"/>
      <c r="C176" s="12"/>
      <c r="D176" s="12"/>
      <c r="E176" s="12"/>
      <c r="F176" s="13"/>
      <c r="G176" s="12"/>
      <c r="H176" s="14"/>
      <c r="I176" s="15"/>
      <c r="J176" s="21"/>
      <c r="K176" s="21"/>
      <c r="L176" s="37"/>
    </row>
    <row r="177" spans="1:15" ht="12.75">
      <c r="A177" s="11"/>
      <c r="B177" s="12">
        <v>6</v>
      </c>
      <c r="C177" s="12">
        <v>4717</v>
      </c>
      <c r="D177" s="12" t="s">
        <v>214</v>
      </c>
      <c r="E177" s="12" t="s">
        <v>32</v>
      </c>
      <c r="F177" s="13" t="s">
        <v>215</v>
      </c>
      <c r="G177" s="12">
        <f>6*60+33.62</f>
        <v>393.62</v>
      </c>
      <c r="H177" s="14" t="s">
        <v>141</v>
      </c>
      <c r="I177" s="15">
        <v>58</v>
      </c>
      <c r="J177" s="21">
        <f>(0.8337+0.8608)/2</f>
        <v>0.8472500000000001</v>
      </c>
      <c r="K177" s="21" t="s">
        <v>400</v>
      </c>
      <c r="L177" s="37">
        <v>825</v>
      </c>
      <c r="M177" s="5">
        <f aca="true" t="shared" si="22" ref="M177:M194">G177*J177</f>
        <v>333.494545</v>
      </c>
      <c r="N177">
        <f aca="true" t="shared" si="23" ref="N177:N194">INT(M177/60)</f>
        <v>5</v>
      </c>
      <c r="O177" s="5">
        <f aca="true" t="shared" si="24" ref="O177:O194">M177-(N177*60)</f>
        <v>33.494545000000016</v>
      </c>
    </row>
    <row r="178" spans="1:15" ht="12.75">
      <c r="A178" s="11"/>
      <c r="B178" s="12">
        <v>10</v>
      </c>
      <c r="C178" s="12">
        <v>5851</v>
      </c>
      <c r="D178" s="12" t="s">
        <v>222</v>
      </c>
      <c r="E178" s="12" t="s">
        <v>184</v>
      </c>
      <c r="F178" s="13" t="s">
        <v>223</v>
      </c>
      <c r="G178" s="12">
        <f>6*60+45.03</f>
        <v>405.03</v>
      </c>
      <c r="H178" s="14" t="s">
        <v>141</v>
      </c>
      <c r="I178" s="15">
        <v>59</v>
      </c>
      <c r="J178" s="21">
        <f>(0.8337+0.8608)/2</f>
        <v>0.8472500000000001</v>
      </c>
      <c r="K178" s="21" t="s">
        <v>401</v>
      </c>
      <c r="L178" s="37">
        <v>745</v>
      </c>
      <c r="M178" s="5">
        <f t="shared" si="22"/>
        <v>343.1616675</v>
      </c>
      <c r="N178">
        <f t="shared" si="23"/>
        <v>5</v>
      </c>
      <c r="O178" s="5">
        <f t="shared" si="24"/>
        <v>43.16166750000002</v>
      </c>
    </row>
    <row r="179" spans="1:15" ht="12.75">
      <c r="A179" s="11"/>
      <c r="B179" s="12">
        <v>7</v>
      </c>
      <c r="C179" s="12">
        <v>5841</v>
      </c>
      <c r="D179" s="12" t="s">
        <v>216</v>
      </c>
      <c r="E179" s="12" t="s">
        <v>159</v>
      </c>
      <c r="F179" s="13" t="s">
        <v>217</v>
      </c>
      <c r="G179" s="12">
        <f>6*60+34.95</f>
        <v>394.95</v>
      </c>
      <c r="H179" s="14" t="s">
        <v>136</v>
      </c>
      <c r="I179" s="15">
        <v>65</v>
      </c>
      <c r="J179" s="21">
        <f>(0.8731+0.8956)/2</f>
        <v>0.88435</v>
      </c>
      <c r="K179" s="21" t="s">
        <v>397</v>
      </c>
      <c r="L179" s="37">
        <v>696</v>
      </c>
      <c r="M179" s="5">
        <f t="shared" si="22"/>
        <v>349.2740325</v>
      </c>
      <c r="N179">
        <f t="shared" si="23"/>
        <v>5</v>
      </c>
      <c r="O179" s="5">
        <f t="shared" si="24"/>
        <v>49.274032499999976</v>
      </c>
    </row>
    <row r="180" spans="1:15" ht="12.75">
      <c r="A180" s="11"/>
      <c r="B180" s="12">
        <v>1</v>
      </c>
      <c r="C180" s="12">
        <v>5732</v>
      </c>
      <c r="D180" s="12" t="s">
        <v>204</v>
      </c>
      <c r="E180" s="12" t="s">
        <v>15</v>
      </c>
      <c r="F180" s="13" t="s">
        <v>205</v>
      </c>
      <c r="G180" s="12">
        <f>5*60+53.81</f>
        <v>353.81</v>
      </c>
      <c r="H180" s="14" t="s">
        <v>155</v>
      </c>
      <c r="I180" s="15">
        <v>78</v>
      </c>
      <c r="J180" s="21">
        <f>(0.9913+1)/2</f>
        <v>0.9956499999999999</v>
      </c>
      <c r="K180" s="31" t="s">
        <v>387</v>
      </c>
      <c r="L180" s="37">
        <v>673</v>
      </c>
      <c r="M180" s="5">
        <f t="shared" si="22"/>
        <v>352.2709265</v>
      </c>
      <c r="N180">
        <f t="shared" si="23"/>
        <v>5</v>
      </c>
      <c r="O180" s="5">
        <f t="shared" si="24"/>
        <v>52.27092649999997</v>
      </c>
    </row>
    <row r="181" spans="1:15" ht="12.75">
      <c r="A181" s="11"/>
      <c r="B181" s="12">
        <v>2</v>
      </c>
      <c r="C181" s="12">
        <v>6969</v>
      </c>
      <c r="D181" s="12" t="s">
        <v>206</v>
      </c>
      <c r="E181" s="12" t="s">
        <v>40</v>
      </c>
      <c r="F181" s="13" t="s">
        <v>207</v>
      </c>
      <c r="G181" s="12">
        <f>6*60+0.71</f>
        <v>360.71</v>
      </c>
      <c r="H181" s="14" t="s">
        <v>155</v>
      </c>
      <c r="I181" s="15">
        <v>79</v>
      </c>
      <c r="J181" s="21">
        <f>(0.9913+1)/2</f>
        <v>0.9956499999999999</v>
      </c>
      <c r="K181" s="21" t="s">
        <v>388</v>
      </c>
      <c r="L181" s="37">
        <v>621</v>
      </c>
      <c r="M181" s="5">
        <f t="shared" si="22"/>
        <v>359.14091149999996</v>
      </c>
      <c r="N181">
        <f t="shared" si="23"/>
        <v>5</v>
      </c>
      <c r="O181" s="5">
        <f t="shared" si="24"/>
        <v>59.14091149999996</v>
      </c>
    </row>
    <row r="182" spans="1:15" ht="12.75">
      <c r="A182" s="11"/>
      <c r="B182" s="12">
        <v>3</v>
      </c>
      <c r="C182" s="12">
        <v>5619</v>
      </c>
      <c r="D182" s="12" t="s">
        <v>208</v>
      </c>
      <c r="E182" s="12" t="s">
        <v>40</v>
      </c>
      <c r="F182" s="13" t="s">
        <v>209</v>
      </c>
      <c r="G182" s="12">
        <f>6*60+6.89</f>
        <v>366.89</v>
      </c>
      <c r="H182" s="14" t="s">
        <v>155</v>
      </c>
      <c r="I182" s="15">
        <v>79</v>
      </c>
      <c r="J182" s="21">
        <f>(0.9913+1)/2</f>
        <v>0.9956499999999999</v>
      </c>
      <c r="K182" s="21" t="s">
        <v>403</v>
      </c>
      <c r="L182" s="37">
        <v>755</v>
      </c>
      <c r="M182" s="5">
        <f t="shared" si="22"/>
        <v>365.29402849999997</v>
      </c>
      <c r="N182">
        <f t="shared" si="23"/>
        <v>6</v>
      </c>
      <c r="O182" s="5">
        <f t="shared" si="24"/>
        <v>5.294028499999968</v>
      </c>
    </row>
    <row r="183" spans="1:15" ht="12.75">
      <c r="A183" s="11"/>
      <c r="B183" s="12">
        <v>4</v>
      </c>
      <c r="C183" s="12">
        <v>5168</v>
      </c>
      <c r="D183" s="12" t="s">
        <v>210</v>
      </c>
      <c r="E183" s="12" t="s">
        <v>35</v>
      </c>
      <c r="F183" s="13" t="s">
        <v>211</v>
      </c>
      <c r="G183" s="12">
        <f>6*60+10.19</f>
        <v>370.19</v>
      </c>
      <c r="H183" s="14" t="s">
        <v>155</v>
      </c>
      <c r="I183" s="15">
        <v>76</v>
      </c>
      <c r="J183" s="21">
        <f>(0.9913+1)/2</f>
        <v>0.9956499999999999</v>
      </c>
      <c r="K183" s="21" t="s">
        <v>389</v>
      </c>
      <c r="L183" s="37">
        <v>554</v>
      </c>
      <c r="M183" s="5">
        <f t="shared" si="22"/>
        <v>368.57967349999996</v>
      </c>
      <c r="N183">
        <f t="shared" si="23"/>
        <v>6</v>
      </c>
      <c r="O183" s="5">
        <f t="shared" si="24"/>
        <v>8.579673499999956</v>
      </c>
    </row>
    <row r="184" spans="1:15" ht="12.75">
      <c r="A184" s="11"/>
      <c r="B184" s="12">
        <v>12</v>
      </c>
      <c r="C184" s="12">
        <v>6688</v>
      </c>
      <c r="D184" s="12" t="s">
        <v>166</v>
      </c>
      <c r="E184" s="12" t="s">
        <v>58</v>
      </c>
      <c r="F184" s="13" t="s">
        <v>226</v>
      </c>
      <c r="G184" s="12">
        <f>6*60+58.15</f>
        <v>418.15</v>
      </c>
      <c r="H184" s="14" t="s">
        <v>136</v>
      </c>
      <c r="I184" s="15">
        <v>63</v>
      </c>
      <c r="J184" s="21">
        <f>(0.8731+0.8956)/2</f>
        <v>0.88435</v>
      </c>
      <c r="K184" s="21" t="s">
        <v>398</v>
      </c>
      <c r="L184" s="37">
        <v>545</v>
      </c>
      <c r="M184" s="5">
        <f t="shared" si="22"/>
        <v>369.79095249999995</v>
      </c>
      <c r="N184">
        <f t="shared" si="23"/>
        <v>6</v>
      </c>
      <c r="O184" s="5">
        <f t="shared" si="24"/>
        <v>9.790952499999946</v>
      </c>
    </row>
    <row r="185" spans="1:15" ht="12.75">
      <c r="A185" s="11"/>
      <c r="B185" s="12">
        <v>16</v>
      </c>
      <c r="C185" s="12">
        <v>5162</v>
      </c>
      <c r="D185" s="12" t="s">
        <v>170</v>
      </c>
      <c r="E185" s="12" t="s">
        <v>35</v>
      </c>
      <c r="F185" s="13" t="s">
        <v>232</v>
      </c>
      <c r="G185" s="12">
        <f>7*60+45.74</f>
        <v>465.74</v>
      </c>
      <c r="H185" s="14" t="s">
        <v>151</v>
      </c>
      <c r="I185" s="15">
        <v>52</v>
      </c>
      <c r="J185" s="21">
        <f>(0.7939+0.826)/2</f>
        <v>0.80995</v>
      </c>
      <c r="K185" s="21" t="s">
        <v>402</v>
      </c>
      <c r="L185" s="37">
        <v>495</v>
      </c>
      <c r="M185" s="5">
        <f t="shared" si="22"/>
        <v>377.226113</v>
      </c>
      <c r="N185">
        <f t="shared" si="23"/>
        <v>6</v>
      </c>
      <c r="O185" s="5">
        <f t="shared" si="24"/>
        <v>17.226112999999998</v>
      </c>
    </row>
    <row r="186" spans="1:15" ht="12.75">
      <c r="A186" s="11"/>
      <c r="B186" s="12">
        <v>8</v>
      </c>
      <c r="C186" s="12">
        <v>6027</v>
      </c>
      <c r="D186" s="12" t="s">
        <v>218</v>
      </c>
      <c r="E186" s="12" t="s">
        <v>53</v>
      </c>
      <c r="F186" s="13" t="s">
        <v>219</v>
      </c>
      <c r="G186" s="12">
        <f>6*60+39.04</f>
        <v>399.04</v>
      </c>
      <c r="H186" s="14" t="s">
        <v>148</v>
      </c>
      <c r="I186" s="15">
        <v>70</v>
      </c>
      <c r="J186" s="21">
        <f>(0.9519+0.9652)/2</f>
        <v>0.95855</v>
      </c>
      <c r="K186" s="21" t="s">
        <v>393</v>
      </c>
      <c r="L186" s="37">
        <v>461</v>
      </c>
      <c r="M186" s="5">
        <f t="shared" si="22"/>
        <v>382.499792</v>
      </c>
      <c r="N186">
        <f t="shared" si="23"/>
        <v>6</v>
      </c>
      <c r="O186" s="5">
        <f t="shared" si="24"/>
        <v>22.499792000000014</v>
      </c>
    </row>
    <row r="187" spans="1:15" ht="12.75">
      <c r="A187" s="11"/>
      <c r="B187" s="12">
        <v>5</v>
      </c>
      <c r="C187" s="12">
        <v>5302</v>
      </c>
      <c r="D187" s="12" t="s">
        <v>212</v>
      </c>
      <c r="E187" s="12" t="s">
        <v>159</v>
      </c>
      <c r="F187" s="13" t="s">
        <v>213</v>
      </c>
      <c r="G187" s="12">
        <f>6*60+24.39</f>
        <v>384.39</v>
      </c>
      <c r="H187" s="14" t="s">
        <v>155</v>
      </c>
      <c r="I187" s="15">
        <v>75</v>
      </c>
      <c r="J187" s="21">
        <f>(0.9913+1)/2</f>
        <v>0.9956499999999999</v>
      </c>
      <c r="K187" s="21" t="s">
        <v>390</v>
      </c>
      <c r="L187" s="37">
        <v>459</v>
      </c>
      <c r="M187" s="5">
        <f t="shared" si="22"/>
        <v>382.7179035</v>
      </c>
      <c r="N187">
        <f t="shared" si="23"/>
        <v>6</v>
      </c>
      <c r="O187" s="5">
        <f t="shared" si="24"/>
        <v>22.717903499999977</v>
      </c>
    </row>
    <row r="188" spans="1:15" ht="12.75">
      <c r="A188" s="11"/>
      <c r="B188" s="12">
        <v>14</v>
      </c>
      <c r="C188" s="12">
        <v>5364</v>
      </c>
      <c r="D188" s="12" t="s">
        <v>194</v>
      </c>
      <c r="E188" s="12" t="s">
        <v>58</v>
      </c>
      <c r="F188" s="13" t="s">
        <v>229</v>
      </c>
      <c r="G188" s="12">
        <f>7*60+3.15</f>
        <v>423.15</v>
      </c>
      <c r="H188" s="14" t="s">
        <v>138</v>
      </c>
      <c r="I188" s="15">
        <v>65</v>
      </c>
      <c r="J188" s="21">
        <f>(0.9125+0.9304)/2</f>
        <v>0.92145</v>
      </c>
      <c r="K188" s="21" t="s">
        <v>396</v>
      </c>
      <c r="L188" s="37">
        <v>415</v>
      </c>
      <c r="M188" s="5">
        <f t="shared" si="22"/>
        <v>389.9115675</v>
      </c>
      <c r="N188">
        <f t="shared" si="23"/>
        <v>6</v>
      </c>
      <c r="O188" s="5">
        <f t="shared" si="24"/>
        <v>29.91156749999999</v>
      </c>
    </row>
    <row r="189" spans="1:15" ht="12.75">
      <c r="A189" s="11"/>
      <c r="B189" s="12">
        <v>11</v>
      </c>
      <c r="C189" s="12">
        <v>5170</v>
      </c>
      <c r="D189" s="12" t="s">
        <v>224</v>
      </c>
      <c r="E189" s="12" t="s">
        <v>35</v>
      </c>
      <c r="F189" s="13" t="s">
        <v>225</v>
      </c>
      <c r="G189" s="12">
        <f>6*60+50.33</f>
        <v>410.33</v>
      </c>
      <c r="H189" s="14" t="s">
        <v>148</v>
      </c>
      <c r="I189" s="15">
        <v>75</v>
      </c>
      <c r="J189" s="21">
        <f>(0.9519+0.9652)/2</f>
        <v>0.95855</v>
      </c>
      <c r="K189" s="21" t="s">
        <v>394</v>
      </c>
      <c r="L189" s="37">
        <v>395</v>
      </c>
      <c r="M189" s="5">
        <f t="shared" si="22"/>
        <v>393.3218215</v>
      </c>
      <c r="N189">
        <f t="shared" si="23"/>
        <v>6</v>
      </c>
      <c r="O189" s="5">
        <f t="shared" si="24"/>
        <v>33.3218215</v>
      </c>
    </row>
    <row r="190" spans="1:15" ht="12.75">
      <c r="A190" s="11"/>
      <c r="B190" s="12">
        <v>13</v>
      </c>
      <c r="C190" s="12">
        <v>4845</v>
      </c>
      <c r="D190" s="12" t="s">
        <v>227</v>
      </c>
      <c r="E190" s="12" t="s">
        <v>32</v>
      </c>
      <c r="F190" s="13" t="s">
        <v>228</v>
      </c>
      <c r="G190" s="12">
        <f>6*60+59.48</f>
        <v>419.48</v>
      </c>
      <c r="H190" s="14" t="s">
        <v>148</v>
      </c>
      <c r="I190" s="15">
        <v>72</v>
      </c>
      <c r="J190" s="21">
        <f>(0.9519+0.9652)/2</f>
        <v>0.95855</v>
      </c>
      <c r="K190" s="21" t="s">
        <v>395</v>
      </c>
      <c r="L190" s="37">
        <v>345</v>
      </c>
      <c r="M190" s="5">
        <f t="shared" si="22"/>
        <v>402.092554</v>
      </c>
      <c r="N190">
        <f t="shared" si="23"/>
        <v>6</v>
      </c>
      <c r="O190" s="5">
        <f t="shared" si="24"/>
        <v>42.09255400000001</v>
      </c>
    </row>
    <row r="191" spans="1:15" ht="12.75">
      <c r="A191" s="11"/>
      <c r="B191" s="12">
        <v>9</v>
      </c>
      <c r="C191" s="12">
        <v>4935</v>
      </c>
      <c r="D191" s="12" t="s">
        <v>220</v>
      </c>
      <c r="E191" s="12" t="s">
        <v>58</v>
      </c>
      <c r="F191" s="13" t="s">
        <v>221</v>
      </c>
      <c r="G191" s="12">
        <f>6*60+43.87</f>
        <v>403.87</v>
      </c>
      <c r="H191" s="14" t="s">
        <v>155</v>
      </c>
      <c r="I191" s="15">
        <v>79</v>
      </c>
      <c r="J191" s="21">
        <f>(0.9913+1)/2</f>
        <v>0.9956499999999999</v>
      </c>
      <c r="K191" s="21" t="s">
        <v>391</v>
      </c>
      <c r="L191" s="37">
        <v>345</v>
      </c>
      <c r="M191" s="5">
        <f t="shared" si="22"/>
        <v>402.1131655</v>
      </c>
      <c r="N191">
        <f t="shared" si="23"/>
        <v>6</v>
      </c>
      <c r="O191" s="5">
        <f t="shared" si="24"/>
        <v>42.11316549999998</v>
      </c>
    </row>
    <row r="192" spans="1:15" ht="12.75">
      <c r="A192" s="11"/>
      <c r="B192" s="12">
        <v>18</v>
      </c>
      <c r="C192" s="12">
        <v>4940</v>
      </c>
      <c r="D192" s="12" t="s">
        <v>234</v>
      </c>
      <c r="E192" s="12" t="s">
        <v>58</v>
      </c>
      <c r="F192" s="13" t="s">
        <v>235</v>
      </c>
      <c r="G192" s="12">
        <f>8*60+32.96</f>
        <v>512.96</v>
      </c>
      <c r="H192" s="14" t="s">
        <v>151</v>
      </c>
      <c r="I192" s="15">
        <v>50</v>
      </c>
      <c r="J192" s="21">
        <f>(0.7939+0.826)/2</f>
        <v>0.80995</v>
      </c>
      <c r="K192" s="21" t="s">
        <v>399</v>
      </c>
      <c r="L192" s="37">
        <v>275</v>
      </c>
      <c r="M192" s="5">
        <f t="shared" si="22"/>
        <v>415.471952</v>
      </c>
      <c r="N192">
        <f t="shared" si="23"/>
        <v>6</v>
      </c>
      <c r="O192" s="5">
        <f t="shared" si="24"/>
        <v>55.47195199999999</v>
      </c>
    </row>
    <row r="193" spans="1:15" ht="12.75">
      <c r="A193" s="11"/>
      <c r="B193" s="12">
        <v>17</v>
      </c>
      <c r="C193" s="12">
        <v>6947</v>
      </c>
      <c r="D193" s="12" t="s">
        <v>168</v>
      </c>
      <c r="E193" s="12" t="s">
        <v>15</v>
      </c>
      <c r="F193" s="13" t="s">
        <v>233</v>
      </c>
      <c r="G193" s="12">
        <f>7*60+49.81</f>
        <v>469.81</v>
      </c>
      <c r="H193" s="14" t="s">
        <v>136</v>
      </c>
      <c r="I193" s="15">
        <v>62</v>
      </c>
      <c r="J193" s="21">
        <f>(0.8731+0.8956)/2</f>
        <v>0.88435</v>
      </c>
      <c r="K193" s="21" t="s">
        <v>399</v>
      </c>
      <c r="L193" s="37">
        <v>275</v>
      </c>
      <c r="M193" s="5">
        <f t="shared" si="22"/>
        <v>415.4764735</v>
      </c>
      <c r="N193">
        <f t="shared" si="23"/>
        <v>6</v>
      </c>
      <c r="O193" s="5">
        <f t="shared" si="24"/>
        <v>55.4764735</v>
      </c>
    </row>
    <row r="194" spans="1:15" ht="12.75">
      <c r="A194" s="11"/>
      <c r="B194" s="12">
        <v>15</v>
      </c>
      <c r="C194" s="12">
        <v>4909</v>
      </c>
      <c r="D194" s="12" t="s">
        <v>230</v>
      </c>
      <c r="E194" s="12" t="s">
        <v>58</v>
      </c>
      <c r="F194" s="13" t="s">
        <v>231</v>
      </c>
      <c r="G194" s="12">
        <f>7*60+9.01</f>
        <v>429.01</v>
      </c>
      <c r="H194" s="14" t="s">
        <v>155</v>
      </c>
      <c r="I194" s="15">
        <v>75</v>
      </c>
      <c r="J194" s="21">
        <f>(0.9913+1)/2</f>
        <v>0.9956499999999999</v>
      </c>
      <c r="K194" s="21" t="s">
        <v>392</v>
      </c>
      <c r="L194" s="37">
        <v>221</v>
      </c>
      <c r="M194" s="5">
        <f t="shared" si="22"/>
        <v>427.1438065</v>
      </c>
      <c r="N194">
        <f t="shared" si="23"/>
        <v>7</v>
      </c>
      <c r="O194" s="5">
        <f t="shared" si="24"/>
        <v>7.143806499999982</v>
      </c>
    </row>
    <row r="195" spans="1:12" ht="12.75">
      <c r="A195" s="11"/>
      <c r="B195" s="12"/>
      <c r="C195" s="12"/>
      <c r="D195" s="12"/>
      <c r="E195" s="12"/>
      <c r="F195" s="13"/>
      <c r="G195" s="12"/>
      <c r="H195" s="14"/>
      <c r="I195" s="15"/>
      <c r="J195" s="21"/>
      <c r="K195" s="21"/>
      <c r="L195" s="37"/>
    </row>
    <row r="196" spans="1:12" ht="12.75">
      <c r="A196" s="11" t="s">
        <v>415</v>
      </c>
      <c r="B196" s="12"/>
      <c r="C196" s="12"/>
      <c r="D196" s="12"/>
      <c r="E196" s="12"/>
      <c r="F196" s="13"/>
      <c r="G196" s="12"/>
      <c r="H196" s="14"/>
      <c r="I196" s="15"/>
      <c r="J196" s="21"/>
      <c r="K196" s="21"/>
      <c r="L196" s="37"/>
    </row>
    <row r="197" spans="1:12" ht="12.75">
      <c r="A197" s="11"/>
      <c r="B197" s="12">
        <v>1</v>
      </c>
      <c r="C197" s="12">
        <v>3603</v>
      </c>
      <c r="D197" s="12" t="s">
        <v>236</v>
      </c>
      <c r="E197" s="12" t="s">
        <v>237</v>
      </c>
      <c r="F197" s="13" t="s">
        <v>238</v>
      </c>
      <c r="G197" s="17">
        <v>12.7</v>
      </c>
      <c r="H197" s="14" t="s">
        <v>148</v>
      </c>
      <c r="I197" s="15">
        <v>73</v>
      </c>
      <c r="J197" s="24">
        <f>1+0.1137</f>
        <v>1.1137</v>
      </c>
      <c r="K197" s="22">
        <f>G197*J197-0.005</f>
        <v>14.138989999999998</v>
      </c>
      <c r="L197" s="37">
        <v>773</v>
      </c>
    </row>
    <row r="198" spans="1:12" ht="12.75">
      <c r="A198" s="11"/>
      <c r="B198" s="12">
        <v>2</v>
      </c>
      <c r="C198" s="12">
        <v>9903</v>
      </c>
      <c r="D198" s="12" t="s">
        <v>239</v>
      </c>
      <c r="E198" s="12" t="s">
        <v>19</v>
      </c>
      <c r="F198" s="13" t="s">
        <v>240</v>
      </c>
      <c r="G198" s="12">
        <v>10.24</v>
      </c>
      <c r="H198" s="14" t="s">
        <v>138</v>
      </c>
      <c r="I198" s="15">
        <v>66</v>
      </c>
      <c r="J198" s="24">
        <f>1+0.2023</f>
        <v>1.2023</v>
      </c>
      <c r="K198" s="22">
        <f>G198*J198-0.005</f>
        <v>12.306551999999998</v>
      </c>
      <c r="L198" s="37">
        <v>664</v>
      </c>
    </row>
    <row r="199" spans="1:12" ht="12.75">
      <c r="A199" s="11"/>
      <c r="B199" s="12">
        <v>3</v>
      </c>
      <c r="C199" s="12">
        <v>6078</v>
      </c>
      <c r="D199" s="12" t="s">
        <v>241</v>
      </c>
      <c r="E199" s="12" t="s">
        <v>2</v>
      </c>
      <c r="F199" s="13" t="s">
        <v>242</v>
      </c>
      <c r="G199" s="12">
        <v>10.13</v>
      </c>
      <c r="H199" s="14" t="s">
        <v>148</v>
      </c>
      <c r="I199" s="15">
        <v>70</v>
      </c>
      <c r="J199" s="24">
        <f>1+0.1137</f>
        <v>1.1137</v>
      </c>
      <c r="K199" s="22">
        <f>G199*J199-0.005</f>
        <v>11.276781</v>
      </c>
      <c r="L199" s="37">
        <v>604</v>
      </c>
    </row>
    <row r="200" spans="1:12" ht="12.75">
      <c r="A200" s="11"/>
      <c r="B200" s="12">
        <v>4</v>
      </c>
      <c r="C200" s="12">
        <v>6443</v>
      </c>
      <c r="D200" s="12" t="s">
        <v>243</v>
      </c>
      <c r="E200" s="12" t="s">
        <v>32</v>
      </c>
      <c r="F200" s="13" t="s">
        <v>244</v>
      </c>
      <c r="G200" s="17">
        <v>8.4</v>
      </c>
      <c r="H200" s="14" t="s">
        <v>138</v>
      </c>
      <c r="I200" s="15">
        <v>69</v>
      </c>
      <c r="J200" s="24">
        <f>1+0.2023</f>
        <v>1.2023</v>
      </c>
      <c r="K200" s="22">
        <f>G200*J200-0.005</f>
        <v>10.09432</v>
      </c>
      <c r="L200" s="37">
        <v>534</v>
      </c>
    </row>
    <row r="201" spans="1:12" ht="12.75">
      <c r="A201" s="11"/>
      <c r="B201" s="12">
        <v>5</v>
      </c>
      <c r="C201" s="12">
        <v>5393</v>
      </c>
      <c r="D201" s="12" t="s">
        <v>245</v>
      </c>
      <c r="E201" s="12" t="s">
        <v>143</v>
      </c>
      <c r="F201" s="13" t="s">
        <v>246</v>
      </c>
      <c r="G201" s="12">
        <v>7.36</v>
      </c>
      <c r="H201" s="14" t="s">
        <v>155</v>
      </c>
      <c r="I201" s="15">
        <v>76</v>
      </c>
      <c r="J201" s="24">
        <f>1+0.0372</f>
        <v>1.0372</v>
      </c>
      <c r="K201" s="22">
        <f>G201*J201-0.005</f>
        <v>7.628792</v>
      </c>
      <c r="L201" s="37">
        <v>389</v>
      </c>
    </row>
    <row r="202" spans="1:12" ht="12.75">
      <c r="A202" s="11"/>
      <c r="B202" s="12"/>
      <c r="C202" s="12"/>
      <c r="D202" s="12"/>
      <c r="E202" s="12"/>
      <c r="F202" s="13"/>
      <c r="G202" s="12"/>
      <c r="H202" s="14"/>
      <c r="I202" s="15"/>
      <c r="J202" s="21"/>
      <c r="K202" s="21"/>
      <c r="L202" s="37"/>
    </row>
    <row r="203" spans="1:12" ht="12.75">
      <c r="A203" s="11" t="s">
        <v>416</v>
      </c>
      <c r="B203" s="12"/>
      <c r="C203" s="12"/>
      <c r="D203" s="12"/>
      <c r="E203" s="12"/>
      <c r="F203" s="13"/>
      <c r="G203" s="12"/>
      <c r="H203" s="14"/>
      <c r="I203" s="15"/>
      <c r="J203" s="21"/>
      <c r="K203" s="21"/>
      <c r="L203" s="37"/>
    </row>
    <row r="204" spans="1:12" ht="12.75">
      <c r="A204" s="11"/>
      <c r="B204" s="12">
        <v>1</v>
      </c>
      <c r="C204" s="12">
        <v>4473</v>
      </c>
      <c r="D204" s="12" t="s">
        <v>247</v>
      </c>
      <c r="E204" s="12" t="s">
        <v>237</v>
      </c>
      <c r="F204" s="13" t="s">
        <v>248</v>
      </c>
      <c r="G204" s="12">
        <v>10.15</v>
      </c>
      <c r="H204" s="14" t="s">
        <v>136</v>
      </c>
      <c r="I204" s="15">
        <v>62</v>
      </c>
      <c r="J204" s="21">
        <f>1+0.1721</f>
        <v>1.1721</v>
      </c>
      <c r="K204" s="22">
        <f>G204*J204-0.005</f>
        <v>11.891815</v>
      </c>
      <c r="L204" s="37">
        <v>640</v>
      </c>
    </row>
    <row r="205" spans="1:12" ht="12.75">
      <c r="A205" s="11"/>
      <c r="B205" s="12">
        <v>2</v>
      </c>
      <c r="C205" s="12">
        <v>6221</v>
      </c>
      <c r="D205" s="12" t="s">
        <v>249</v>
      </c>
      <c r="E205" s="12" t="s">
        <v>15</v>
      </c>
      <c r="F205" s="13" t="s">
        <v>250</v>
      </c>
      <c r="G205" s="12">
        <v>9.72</v>
      </c>
      <c r="H205" s="14" t="s">
        <v>136</v>
      </c>
      <c r="I205" s="15">
        <v>64</v>
      </c>
      <c r="J205" s="21">
        <f>1+0.1721</f>
        <v>1.1721</v>
      </c>
      <c r="K205" s="22">
        <f>G205*J205-0.005</f>
        <v>11.387811999999998</v>
      </c>
      <c r="L205" s="37">
        <v>610</v>
      </c>
    </row>
    <row r="206" spans="1:12" ht="12.75">
      <c r="A206" s="11"/>
      <c r="B206" s="12">
        <v>3</v>
      </c>
      <c r="C206" s="12">
        <v>5246</v>
      </c>
      <c r="D206" s="12" t="s">
        <v>251</v>
      </c>
      <c r="E206" s="12" t="s">
        <v>252</v>
      </c>
      <c r="F206" s="13" t="s">
        <v>253</v>
      </c>
      <c r="G206" s="12">
        <v>7.75</v>
      </c>
      <c r="H206" s="14" t="s">
        <v>141</v>
      </c>
      <c r="I206" s="15">
        <v>56</v>
      </c>
      <c r="J206" s="21">
        <f>1+0.2706</f>
        <v>1.2706</v>
      </c>
      <c r="K206" s="22">
        <f>G206*J206-0.005</f>
        <v>9.842149999999998</v>
      </c>
      <c r="L206" s="37">
        <v>519</v>
      </c>
    </row>
    <row r="207" spans="1:12" ht="12.75">
      <c r="A207" s="11"/>
      <c r="B207" s="12"/>
      <c r="C207" s="12">
        <v>5771</v>
      </c>
      <c r="D207" s="12" t="s">
        <v>254</v>
      </c>
      <c r="E207" s="12" t="s">
        <v>32</v>
      </c>
      <c r="F207" s="13" t="s">
        <v>255</v>
      </c>
      <c r="G207" s="12"/>
      <c r="H207" s="14" t="s">
        <v>141</v>
      </c>
      <c r="I207" s="15">
        <v>59</v>
      </c>
      <c r="J207" s="21">
        <f>1+0.2706</f>
        <v>1.2706</v>
      </c>
      <c r="K207" s="22"/>
      <c r="L207" s="37"/>
    </row>
    <row r="208" spans="1:12" ht="12.75">
      <c r="A208" s="11"/>
      <c r="B208" s="12"/>
      <c r="C208" s="12"/>
      <c r="D208" s="12"/>
      <c r="E208" s="12"/>
      <c r="F208" s="13"/>
      <c r="G208" s="12"/>
      <c r="H208" s="14"/>
      <c r="I208" s="15"/>
      <c r="J208" s="21"/>
      <c r="K208" s="21"/>
      <c r="L208" s="37"/>
    </row>
    <row r="209" spans="1:12" ht="12.75">
      <c r="A209" s="11" t="s">
        <v>417</v>
      </c>
      <c r="B209" s="12"/>
      <c r="C209" s="12"/>
      <c r="D209" s="12"/>
      <c r="E209" s="12"/>
      <c r="F209" s="13"/>
      <c r="G209" s="12"/>
      <c r="H209" s="14"/>
      <c r="I209" s="15"/>
      <c r="J209" s="21"/>
      <c r="K209" s="21"/>
      <c r="L209" s="37"/>
    </row>
    <row r="210" spans="1:12" ht="12.75">
      <c r="A210" s="11"/>
      <c r="B210" s="12">
        <v>1</v>
      </c>
      <c r="C210" s="12">
        <v>6130</v>
      </c>
      <c r="D210" s="12" t="s">
        <v>256</v>
      </c>
      <c r="E210" s="12" t="s">
        <v>53</v>
      </c>
      <c r="F210" s="13" t="s">
        <v>257</v>
      </c>
      <c r="G210" s="12">
        <v>10.85</v>
      </c>
      <c r="H210" s="14" t="s">
        <v>151</v>
      </c>
      <c r="I210" s="15">
        <v>51</v>
      </c>
      <c r="J210" s="21">
        <f>1+0.2482</f>
        <v>1.2482</v>
      </c>
      <c r="K210" s="22">
        <f>G210*J210-0.005</f>
        <v>13.537969999999998</v>
      </c>
      <c r="L210" s="37">
        <v>737</v>
      </c>
    </row>
    <row r="211" spans="1:12" ht="12.75">
      <c r="A211" s="11"/>
      <c r="B211" s="12">
        <v>2</v>
      </c>
      <c r="C211" s="12">
        <v>4534</v>
      </c>
      <c r="D211" s="12" t="s">
        <v>258</v>
      </c>
      <c r="E211" s="12" t="s">
        <v>237</v>
      </c>
      <c r="F211" s="13" t="s">
        <v>259</v>
      </c>
      <c r="G211" s="17">
        <v>9.7</v>
      </c>
      <c r="H211" s="14" t="s">
        <v>260</v>
      </c>
      <c r="I211" s="15">
        <v>48</v>
      </c>
      <c r="J211" s="21">
        <f>1+0.3607</f>
        <v>1.3607</v>
      </c>
      <c r="K211" s="22">
        <f>G211*J211-0.005</f>
        <v>13.193789999999998</v>
      </c>
      <c r="L211" s="37">
        <v>716</v>
      </c>
    </row>
    <row r="212" spans="1:12" ht="12.75">
      <c r="A212" s="11"/>
      <c r="B212" s="12">
        <v>3</v>
      </c>
      <c r="C212" s="12">
        <v>6759</v>
      </c>
      <c r="D212" s="12" t="s">
        <v>261</v>
      </c>
      <c r="E212" s="12" t="s">
        <v>72</v>
      </c>
      <c r="F212" s="13" t="s">
        <v>262</v>
      </c>
      <c r="G212" s="12">
        <v>9.55</v>
      </c>
      <c r="H212" s="14" t="s">
        <v>260</v>
      </c>
      <c r="I212" s="15">
        <v>48</v>
      </c>
      <c r="J212" s="21">
        <f>1+0.3607</f>
        <v>1.3607</v>
      </c>
      <c r="K212" s="22">
        <f>G212*J212-0.005</f>
        <v>12.989685</v>
      </c>
      <c r="L212" s="37">
        <v>705</v>
      </c>
    </row>
    <row r="213" spans="1:12" ht="12.75">
      <c r="A213" s="11"/>
      <c r="B213" s="12">
        <v>4</v>
      </c>
      <c r="C213" s="12">
        <v>5567</v>
      </c>
      <c r="D213" s="12" t="s">
        <v>263</v>
      </c>
      <c r="E213" s="12" t="s">
        <v>7</v>
      </c>
      <c r="F213" s="13" t="s">
        <v>264</v>
      </c>
      <c r="G213" s="12">
        <v>8.57</v>
      </c>
      <c r="H213" s="14" t="s">
        <v>260</v>
      </c>
      <c r="I213" s="15">
        <v>48</v>
      </c>
      <c r="J213" s="21">
        <f>1+0.3607</f>
        <v>1.3607</v>
      </c>
      <c r="K213" s="22">
        <f>G213*J213-0.005</f>
        <v>11.656198999999999</v>
      </c>
      <c r="L213" s="37">
        <v>626</v>
      </c>
    </row>
    <row r="214" spans="1:12" ht="12.75">
      <c r="A214" s="11"/>
      <c r="B214" s="12"/>
      <c r="C214" s="12"/>
      <c r="D214" s="12"/>
      <c r="E214" s="12"/>
      <c r="F214" s="13"/>
      <c r="G214" s="12"/>
      <c r="H214" s="14"/>
      <c r="I214" s="15"/>
      <c r="J214" s="21"/>
      <c r="K214" s="21"/>
      <c r="L214" s="37"/>
    </row>
    <row r="215" spans="1:12" ht="12.75">
      <c r="A215" s="11" t="s">
        <v>418</v>
      </c>
      <c r="B215" s="12"/>
      <c r="C215" s="12"/>
      <c r="D215" s="12"/>
      <c r="E215" s="12"/>
      <c r="F215" s="13"/>
      <c r="G215" s="12"/>
      <c r="H215" s="14"/>
      <c r="I215" s="15"/>
      <c r="J215" s="21"/>
      <c r="K215" s="21"/>
      <c r="L215" s="37"/>
    </row>
    <row r="216" spans="1:12" ht="12.75">
      <c r="A216" s="11"/>
      <c r="B216" s="12">
        <v>1</v>
      </c>
      <c r="C216" s="12">
        <v>5046</v>
      </c>
      <c r="D216" s="12" t="s">
        <v>265</v>
      </c>
      <c r="E216" s="12" t="s">
        <v>81</v>
      </c>
      <c r="F216" s="13" t="s">
        <v>266</v>
      </c>
      <c r="G216" s="17">
        <v>8.5</v>
      </c>
      <c r="H216" s="14" t="s">
        <v>144</v>
      </c>
      <c r="I216" s="15">
        <v>42</v>
      </c>
      <c r="J216" s="21">
        <f>1+0.2806</f>
        <v>1.2806</v>
      </c>
      <c r="K216" s="22">
        <f>G216*J216-0.005</f>
        <v>10.880099999999999</v>
      </c>
      <c r="L216" s="37">
        <v>580</v>
      </c>
    </row>
    <row r="217" spans="1:12" ht="12.75">
      <c r="A217" s="11"/>
      <c r="B217" s="12"/>
      <c r="C217" s="12"/>
      <c r="D217" s="12"/>
      <c r="E217" s="12"/>
      <c r="F217" s="13"/>
      <c r="G217" s="12"/>
      <c r="H217" s="14"/>
      <c r="I217" s="15"/>
      <c r="J217" s="21"/>
      <c r="K217" s="21"/>
      <c r="L217" s="37"/>
    </row>
    <row r="218" spans="1:12" ht="12.75">
      <c r="A218" s="11" t="s">
        <v>419</v>
      </c>
      <c r="B218" s="12"/>
      <c r="C218" s="12"/>
      <c r="D218" s="12"/>
      <c r="E218" s="12"/>
      <c r="F218" s="13"/>
      <c r="G218" s="12"/>
      <c r="H218" s="14"/>
      <c r="I218" s="15"/>
      <c r="J218" s="21"/>
      <c r="K218" s="21"/>
      <c r="L218" s="37"/>
    </row>
    <row r="219" spans="1:12" ht="12.75">
      <c r="A219" s="11"/>
      <c r="B219" s="12">
        <v>1</v>
      </c>
      <c r="C219" s="12">
        <v>6037</v>
      </c>
      <c r="D219" s="12" t="s">
        <v>267</v>
      </c>
      <c r="E219" s="12" t="s">
        <v>10</v>
      </c>
      <c r="F219" s="13" t="s">
        <v>268</v>
      </c>
      <c r="G219" s="12">
        <v>6.95</v>
      </c>
      <c r="H219" s="14" t="s">
        <v>269</v>
      </c>
      <c r="I219" s="15">
        <v>34</v>
      </c>
      <c r="J219" s="21">
        <f>1+0.5053</f>
        <v>1.5053</v>
      </c>
      <c r="K219" s="22">
        <f>G219*J219-0.005</f>
        <v>10.456835</v>
      </c>
      <c r="L219" s="37">
        <v>555</v>
      </c>
    </row>
    <row r="220" spans="1:12" ht="12.75">
      <c r="A220" s="11"/>
      <c r="B220" s="12">
        <v>2</v>
      </c>
      <c r="C220" s="12">
        <v>5407</v>
      </c>
      <c r="D220" s="12" t="s">
        <v>270</v>
      </c>
      <c r="E220" s="12" t="s">
        <v>49</v>
      </c>
      <c r="F220" s="13" t="s">
        <v>271</v>
      </c>
      <c r="G220" s="12">
        <v>6.76</v>
      </c>
      <c r="H220" s="14" t="s">
        <v>269</v>
      </c>
      <c r="I220" s="15">
        <v>32</v>
      </c>
      <c r="J220" s="21">
        <f>1+0.5053</f>
        <v>1.5053</v>
      </c>
      <c r="K220" s="22">
        <f>G220*J220-0.005</f>
        <v>10.170828</v>
      </c>
      <c r="L220" s="37">
        <v>538</v>
      </c>
    </row>
    <row r="221" spans="1:12" ht="12.75">
      <c r="A221" s="11"/>
      <c r="B221" s="12">
        <v>3</v>
      </c>
      <c r="C221" s="12">
        <v>5513</v>
      </c>
      <c r="D221" s="12" t="s">
        <v>272</v>
      </c>
      <c r="E221" s="12" t="s">
        <v>81</v>
      </c>
      <c r="F221" s="13" t="s">
        <v>273</v>
      </c>
      <c r="G221" s="12">
        <v>5.25</v>
      </c>
      <c r="H221" s="14" t="s">
        <v>274</v>
      </c>
      <c r="I221" s="15">
        <v>25</v>
      </c>
      <c r="J221" s="21">
        <f>1+0.6866</f>
        <v>1.6865999999999999</v>
      </c>
      <c r="K221" s="22">
        <f>G221*J221-0.005</f>
        <v>8.849649999999999</v>
      </c>
      <c r="L221" s="37">
        <v>461</v>
      </c>
    </row>
    <row r="222" spans="1:12" ht="12.75">
      <c r="A222" s="11"/>
      <c r="B222" s="12"/>
      <c r="C222" s="12"/>
      <c r="D222" s="12"/>
      <c r="E222" s="12"/>
      <c r="F222" s="13"/>
      <c r="G222" s="12"/>
      <c r="H222" s="14"/>
      <c r="I222" s="15"/>
      <c r="J222" s="21"/>
      <c r="K222" s="21"/>
      <c r="L222" s="37"/>
    </row>
    <row r="223" spans="1:12" ht="12.75">
      <c r="A223" s="11" t="s">
        <v>420</v>
      </c>
      <c r="B223" s="12"/>
      <c r="C223" s="12"/>
      <c r="D223" s="12"/>
      <c r="E223" s="12"/>
      <c r="F223" s="13"/>
      <c r="G223" s="12"/>
      <c r="H223" s="14"/>
      <c r="I223" s="15"/>
      <c r="J223" s="21"/>
      <c r="K223" s="21"/>
      <c r="L223" s="37"/>
    </row>
    <row r="224" spans="1:12" ht="12.75">
      <c r="A224" s="11"/>
      <c r="B224" s="12">
        <v>5</v>
      </c>
      <c r="C224" s="12">
        <v>6930</v>
      </c>
      <c r="D224" s="12" t="s">
        <v>279</v>
      </c>
      <c r="E224" s="12" t="s">
        <v>22</v>
      </c>
      <c r="F224" s="13" t="s">
        <v>280</v>
      </c>
      <c r="G224" s="12">
        <v>4.54</v>
      </c>
      <c r="H224" s="14" t="s">
        <v>141</v>
      </c>
      <c r="I224" s="15">
        <v>59</v>
      </c>
      <c r="J224" s="21">
        <f>1+0.3121</f>
        <v>1.3121</v>
      </c>
      <c r="K224" s="22">
        <f aca="true" t="shared" si="25" ref="K224:K235">G224*J224-0.005</f>
        <v>5.9519340000000005</v>
      </c>
      <c r="L224" s="37">
        <v>700</v>
      </c>
    </row>
    <row r="225" spans="1:12" ht="12.75">
      <c r="A225" s="11"/>
      <c r="B225" s="12">
        <v>12</v>
      </c>
      <c r="C225" s="12">
        <v>5046</v>
      </c>
      <c r="D225" s="12" t="s">
        <v>265</v>
      </c>
      <c r="E225" s="12" t="s">
        <v>81</v>
      </c>
      <c r="F225" s="13" t="s">
        <v>291</v>
      </c>
      <c r="G225" s="12">
        <v>3.55</v>
      </c>
      <c r="H225" s="14" t="s">
        <v>144</v>
      </c>
      <c r="I225" s="15">
        <v>42</v>
      </c>
      <c r="J225" s="21">
        <f>1+0.6482</f>
        <v>1.6482</v>
      </c>
      <c r="K225" s="22">
        <f t="shared" si="25"/>
        <v>5.84611</v>
      </c>
      <c r="L225" s="37">
        <v>679</v>
      </c>
    </row>
    <row r="226" spans="1:12" ht="12.75">
      <c r="A226" s="11"/>
      <c r="B226" s="12">
        <v>2</v>
      </c>
      <c r="C226" s="12">
        <v>6498</v>
      </c>
      <c r="D226" s="12" t="s">
        <v>158</v>
      </c>
      <c r="E226" s="12" t="s">
        <v>159</v>
      </c>
      <c r="F226" s="13" t="s">
        <v>276</v>
      </c>
      <c r="G226" s="17">
        <v>4.9</v>
      </c>
      <c r="H226" s="14" t="s">
        <v>138</v>
      </c>
      <c r="I226" s="15">
        <v>69</v>
      </c>
      <c r="J226" s="21">
        <f>1+0.1551</f>
        <v>1.1551</v>
      </c>
      <c r="K226" s="22">
        <f t="shared" si="25"/>
        <v>5.654990000000001</v>
      </c>
      <c r="L226" s="37">
        <v>637</v>
      </c>
    </row>
    <row r="227" spans="1:12" ht="12.75">
      <c r="A227" s="11"/>
      <c r="B227" s="12">
        <v>3</v>
      </c>
      <c r="C227" s="12">
        <v>6268</v>
      </c>
      <c r="D227" s="12" t="s">
        <v>192</v>
      </c>
      <c r="E227" s="12" t="s">
        <v>32</v>
      </c>
      <c r="F227" s="13" t="s">
        <v>277</v>
      </c>
      <c r="G227" s="12">
        <v>4.86</v>
      </c>
      <c r="H227" s="14" t="s">
        <v>138</v>
      </c>
      <c r="I227" s="15">
        <v>69</v>
      </c>
      <c r="J227" s="21">
        <f>1+0.1551</f>
        <v>1.1551</v>
      </c>
      <c r="K227" s="22">
        <f t="shared" si="25"/>
        <v>5.608786</v>
      </c>
      <c r="L227" s="37">
        <v>629</v>
      </c>
    </row>
    <row r="228" spans="1:12" ht="12.75">
      <c r="A228" s="11"/>
      <c r="B228" s="12">
        <v>4</v>
      </c>
      <c r="C228" s="12">
        <v>4750</v>
      </c>
      <c r="D228" s="12" t="s">
        <v>177</v>
      </c>
      <c r="E228" s="12" t="s">
        <v>58</v>
      </c>
      <c r="F228" s="13" t="s">
        <v>278</v>
      </c>
      <c r="G228" s="12">
        <v>4.55</v>
      </c>
      <c r="H228" s="14" t="s">
        <v>136</v>
      </c>
      <c r="I228" s="15">
        <v>64</v>
      </c>
      <c r="J228" s="21">
        <f>1+0.2286</f>
        <v>1.2286</v>
      </c>
      <c r="K228" s="22">
        <f t="shared" si="25"/>
        <v>5.5851299999999995</v>
      </c>
      <c r="L228" s="37">
        <v>624</v>
      </c>
    </row>
    <row r="229" spans="1:12" ht="12.75">
      <c r="A229" s="11"/>
      <c r="B229" s="12">
        <v>1</v>
      </c>
      <c r="C229" s="12">
        <v>6100</v>
      </c>
      <c r="D229" s="12" t="s">
        <v>154</v>
      </c>
      <c r="E229" s="12" t="s">
        <v>5</v>
      </c>
      <c r="F229" s="13" t="s">
        <v>275</v>
      </c>
      <c r="G229" s="12">
        <v>5.27</v>
      </c>
      <c r="H229" s="14" t="s">
        <v>155</v>
      </c>
      <c r="I229" s="15">
        <v>78</v>
      </c>
      <c r="J229" s="21">
        <f>1+0.0317</f>
        <v>1.0317</v>
      </c>
      <c r="K229" s="22">
        <f t="shared" si="25"/>
        <v>5.432059</v>
      </c>
      <c r="L229" s="37">
        <v>591</v>
      </c>
    </row>
    <row r="230" spans="1:12" ht="12.75">
      <c r="A230" s="11"/>
      <c r="B230" s="12">
        <v>8</v>
      </c>
      <c r="C230" s="12">
        <v>4687</v>
      </c>
      <c r="D230" s="12" t="s">
        <v>284</v>
      </c>
      <c r="E230" s="12" t="s">
        <v>285</v>
      </c>
      <c r="F230" s="13" t="s">
        <v>286</v>
      </c>
      <c r="G230" s="12">
        <v>3.96</v>
      </c>
      <c r="H230" s="14" t="s">
        <v>141</v>
      </c>
      <c r="I230" s="15">
        <v>57</v>
      </c>
      <c r="J230" s="21">
        <f>1+0.3121</f>
        <v>1.3121</v>
      </c>
      <c r="K230" s="22">
        <f t="shared" si="25"/>
        <v>5.1909160000000005</v>
      </c>
      <c r="L230" s="37">
        <v>541</v>
      </c>
    </row>
    <row r="231" spans="1:12" ht="12.75">
      <c r="A231" s="11"/>
      <c r="B231" s="12">
        <v>11</v>
      </c>
      <c r="C231" s="12">
        <v>5280</v>
      </c>
      <c r="D231" s="12" t="s">
        <v>289</v>
      </c>
      <c r="E231" s="12" t="s">
        <v>81</v>
      </c>
      <c r="F231" s="13" t="s">
        <v>290</v>
      </c>
      <c r="G231" s="12">
        <v>3.59</v>
      </c>
      <c r="H231" s="14" t="s">
        <v>151</v>
      </c>
      <c r="I231" s="15">
        <v>53</v>
      </c>
      <c r="J231" s="21">
        <f>1+0.4078</f>
        <v>1.4078</v>
      </c>
      <c r="K231" s="22">
        <f t="shared" si="25"/>
        <v>5.049002</v>
      </c>
      <c r="L231" s="37">
        <v>513</v>
      </c>
    </row>
    <row r="232" spans="1:12" ht="12.75">
      <c r="A232" s="11"/>
      <c r="B232" s="12">
        <v>10</v>
      </c>
      <c r="C232" s="12">
        <v>6798</v>
      </c>
      <c r="D232" s="12" t="s">
        <v>139</v>
      </c>
      <c r="E232" s="12" t="s">
        <v>140</v>
      </c>
      <c r="F232" s="13" t="s">
        <v>288</v>
      </c>
      <c r="G232" s="12">
        <v>3.72</v>
      </c>
      <c r="H232" s="14" t="s">
        <v>141</v>
      </c>
      <c r="I232" s="15">
        <v>55</v>
      </c>
      <c r="J232" s="21">
        <f>1+0.3121</f>
        <v>1.3121</v>
      </c>
      <c r="K232" s="22">
        <f t="shared" si="25"/>
        <v>4.876012</v>
      </c>
      <c r="L232" s="37">
        <v>478</v>
      </c>
    </row>
    <row r="233" spans="1:12" ht="12.75">
      <c r="A233" s="11"/>
      <c r="B233" s="12">
        <v>6</v>
      </c>
      <c r="C233" s="12">
        <v>6254</v>
      </c>
      <c r="D233" s="12" t="s">
        <v>147</v>
      </c>
      <c r="E233" s="12" t="s">
        <v>10</v>
      </c>
      <c r="F233" s="13" t="s">
        <v>281</v>
      </c>
      <c r="G233" s="12">
        <v>4.46</v>
      </c>
      <c r="H233" s="14" t="s">
        <v>148</v>
      </c>
      <c r="I233" s="15">
        <v>72</v>
      </c>
      <c r="J233" s="21">
        <f>1+0.0899</f>
        <v>1.0899</v>
      </c>
      <c r="K233" s="22">
        <f t="shared" si="25"/>
        <v>4.8559540000000005</v>
      </c>
      <c r="L233" s="37">
        <v>473</v>
      </c>
    </row>
    <row r="234" spans="1:12" ht="12.75">
      <c r="A234" s="11"/>
      <c r="B234" s="12">
        <v>9</v>
      </c>
      <c r="C234" s="12">
        <v>5366</v>
      </c>
      <c r="D234" s="12" t="s">
        <v>137</v>
      </c>
      <c r="E234" s="12" t="s">
        <v>126</v>
      </c>
      <c r="F234" s="13" t="s">
        <v>287</v>
      </c>
      <c r="G234" s="12">
        <v>3.78</v>
      </c>
      <c r="H234" s="14" t="s">
        <v>138</v>
      </c>
      <c r="I234" s="15">
        <v>65</v>
      </c>
      <c r="J234" s="21">
        <f>1+0.1551</f>
        <v>1.1551</v>
      </c>
      <c r="K234" s="22">
        <f t="shared" si="25"/>
        <v>4.3612779999999995</v>
      </c>
      <c r="L234" s="37">
        <v>371</v>
      </c>
    </row>
    <row r="235" spans="1:12" ht="12.75">
      <c r="A235" s="11"/>
      <c r="B235" s="12">
        <v>7</v>
      </c>
      <c r="C235" s="12">
        <v>7136</v>
      </c>
      <c r="D235" s="12" t="s">
        <v>282</v>
      </c>
      <c r="E235" s="12" t="s">
        <v>40</v>
      </c>
      <c r="F235" s="13" t="s">
        <v>283</v>
      </c>
      <c r="G235" s="12">
        <v>4.16</v>
      </c>
      <c r="H235" s="14" t="s">
        <v>155</v>
      </c>
      <c r="I235" s="15">
        <v>75</v>
      </c>
      <c r="J235" s="21">
        <f>1+0.0317</f>
        <v>1.0317</v>
      </c>
      <c r="K235" s="22">
        <f t="shared" si="25"/>
        <v>4.286872000000001</v>
      </c>
      <c r="L235" s="37">
        <v>357</v>
      </c>
    </row>
    <row r="236" spans="1:12" ht="12.75">
      <c r="A236" s="11"/>
      <c r="B236" s="12"/>
      <c r="C236" s="12"/>
      <c r="D236" s="12"/>
      <c r="E236" s="12"/>
      <c r="F236" s="13"/>
      <c r="G236" s="12"/>
      <c r="H236" s="14"/>
      <c r="I236" s="15"/>
      <c r="J236" s="21"/>
      <c r="K236" s="21"/>
      <c r="L236" s="37"/>
    </row>
    <row r="237" spans="1:12" ht="12.75">
      <c r="A237" s="11" t="s">
        <v>421</v>
      </c>
      <c r="B237" s="12"/>
      <c r="C237" s="12"/>
      <c r="D237" s="12"/>
      <c r="E237" s="12"/>
      <c r="F237" s="13"/>
      <c r="G237" s="12"/>
      <c r="H237" s="14"/>
      <c r="I237" s="15"/>
      <c r="J237" s="21"/>
      <c r="K237" s="21"/>
      <c r="L237" s="37"/>
    </row>
    <row r="238" spans="1:12" ht="12.75">
      <c r="A238" s="11"/>
      <c r="B238" s="12">
        <v>1</v>
      </c>
      <c r="C238" s="12">
        <v>6078</v>
      </c>
      <c r="D238" s="12" t="s">
        <v>241</v>
      </c>
      <c r="E238" s="12" t="s">
        <v>2</v>
      </c>
      <c r="F238" s="13" t="s">
        <v>292</v>
      </c>
      <c r="G238" s="12">
        <v>30.14</v>
      </c>
      <c r="H238" s="14" t="s">
        <v>148</v>
      </c>
      <c r="I238" s="15">
        <v>70</v>
      </c>
      <c r="J238" s="21">
        <f>1+0.1014</f>
        <v>1.1014</v>
      </c>
      <c r="K238" s="22">
        <f>G238*J238-0.005</f>
        <v>33.191196</v>
      </c>
      <c r="L238" s="37">
        <v>571</v>
      </c>
    </row>
    <row r="239" spans="1:12" ht="12.75">
      <c r="A239" s="11"/>
      <c r="B239" s="12">
        <v>2</v>
      </c>
      <c r="C239" s="12">
        <v>5572</v>
      </c>
      <c r="D239" s="12" t="s">
        <v>157</v>
      </c>
      <c r="E239" s="12" t="s">
        <v>32</v>
      </c>
      <c r="F239" s="13" t="s">
        <v>293</v>
      </c>
      <c r="G239" s="12">
        <v>26.23</v>
      </c>
      <c r="H239" s="14" t="s">
        <v>138</v>
      </c>
      <c r="I239" s="15">
        <v>68</v>
      </c>
      <c r="J239" s="21">
        <f>1+0.2049</f>
        <v>1.2049</v>
      </c>
      <c r="K239" s="22">
        <f>G239*J239-0.005</f>
        <v>31.599527000000002</v>
      </c>
      <c r="L239" s="37">
        <v>542</v>
      </c>
    </row>
    <row r="240" spans="1:12" ht="12.75">
      <c r="A240" s="11"/>
      <c r="B240" s="12">
        <v>3</v>
      </c>
      <c r="C240" s="12">
        <v>6443</v>
      </c>
      <c r="D240" s="12" t="s">
        <v>243</v>
      </c>
      <c r="E240" s="12" t="s">
        <v>32</v>
      </c>
      <c r="F240" s="13" t="s">
        <v>294</v>
      </c>
      <c r="G240" s="12">
        <v>24.03</v>
      </c>
      <c r="H240" s="14" t="s">
        <v>138</v>
      </c>
      <c r="I240" s="15">
        <v>69</v>
      </c>
      <c r="J240" s="21">
        <f>1+0.2049</f>
        <v>1.2049</v>
      </c>
      <c r="K240" s="22">
        <f>G240*J240-0.005</f>
        <v>28.948747000000004</v>
      </c>
      <c r="L240" s="37">
        <v>494</v>
      </c>
    </row>
    <row r="241" spans="1:12" ht="12.75">
      <c r="A241" s="11"/>
      <c r="B241" s="12">
        <v>4</v>
      </c>
      <c r="C241" s="12">
        <v>5393</v>
      </c>
      <c r="D241" s="12" t="s">
        <v>245</v>
      </c>
      <c r="E241" s="12" t="s">
        <v>143</v>
      </c>
      <c r="F241" s="13" t="s">
        <v>295</v>
      </c>
      <c r="G241" s="12">
        <v>20.16</v>
      </c>
      <c r="H241" s="14" t="s">
        <v>155</v>
      </c>
      <c r="I241" s="15">
        <v>76</v>
      </c>
      <c r="J241" s="21">
        <f>1+0.0143</f>
        <v>1.0143</v>
      </c>
      <c r="K241" s="22">
        <f>G241*J241-0.005</f>
        <v>20.443288</v>
      </c>
      <c r="L241" s="37">
        <v>340</v>
      </c>
    </row>
    <row r="242" spans="1:12" ht="12.75">
      <c r="A242" s="11"/>
      <c r="B242" s="12"/>
      <c r="C242" s="12"/>
      <c r="D242" s="12"/>
      <c r="E242" s="12"/>
      <c r="F242" s="13"/>
      <c r="G242" s="12"/>
      <c r="H242" s="14"/>
      <c r="I242" s="15"/>
      <c r="J242" s="21"/>
      <c r="K242" s="21"/>
      <c r="L242" s="37"/>
    </row>
    <row r="243" spans="1:12" ht="12.75">
      <c r="A243" s="11" t="s">
        <v>422</v>
      </c>
      <c r="B243" s="12"/>
      <c r="C243" s="12"/>
      <c r="D243" s="12"/>
      <c r="E243" s="12"/>
      <c r="F243" s="13"/>
      <c r="G243" s="12"/>
      <c r="H243" s="14"/>
      <c r="I243" s="15"/>
      <c r="J243" s="21"/>
      <c r="K243" s="21"/>
      <c r="L243" s="37"/>
    </row>
    <row r="244" spans="1:12" ht="12.75">
      <c r="A244" s="11"/>
      <c r="B244" s="12">
        <v>1</v>
      </c>
      <c r="C244" s="12">
        <v>6930</v>
      </c>
      <c r="D244" s="12" t="s">
        <v>279</v>
      </c>
      <c r="E244" s="12" t="s">
        <v>22</v>
      </c>
      <c r="F244" s="13" t="s">
        <v>296</v>
      </c>
      <c r="G244" s="12">
        <v>36.96</v>
      </c>
      <c r="H244" s="14" t="s">
        <v>141</v>
      </c>
      <c r="I244" s="15">
        <v>59</v>
      </c>
      <c r="J244" s="21">
        <f>1+0.1103</f>
        <v>1.1103</v>
      </c>
      <c r="K244" s="22">
        <f aca="true" t="shared" si="26" ref="K244:K249">G244*J244-0.005</f>
        <v>41.031688</v>
      </c>
      <c r="L244" s="37">
        <v>713</v>
      </c>
    </row>
    <row r="245" spans="1:12" ht="12.75">
      <c r="A245" s="11"/>
      <c r="B245" s="12">
        <v>2</v>
      </c>
      <c r="C245" s="12">
        <v>5771</v>
      </c>
      <c r="D245" s="12" t="s">
        <v>254</v>
      </c>
      <c r="E245" s="12" t="s">
        <v>32</v>
      </c>
      <c r="F245" s="13" t="s">
        <v>297</v>
      </c>
      <c r="G245" s="12">
        <v>36.84</v>
      </c>
      <c r="H245" s="14" t="s">
        <v>141</v>
      </c>
      <c r="I245" s="15">
        <v>59</v>
      </c>
      <c r="J245" s="21">
        <f>1+0.1103</f>
        <v>1.1103</v>
      </c>
      <c r="K245" s="22">
        <f t="shared" si="26"/>
        <v>40.898452000000006</v>
      </c>
      <c r="L245" s="37">
        <v>711</v>
      </c>
    </row>
    <row r="246" spans="1:12" ht="12.75">
      <c r="A246" s="11"/>
      <c r="B246" s="12">
        <v>3</v>
      </c>
      <c r="C246" s="12">
        <v>7009</v>
      </c>
      <c r="D246" s="12" t="s">
        <v>298</v>
      </c>
      <c r="E246" s="12" t="s">
        <v>49</v>
      </c>
      <c r="F246" s="13" t="s">
        <v>299</v>
      </c>
      <c r="G246" s="12">
        <v>31.56</v>
      </c>
      <c r="H246" s="14" t="s">
        <v>136</v>
      </c>
      <c r="I246" s="15">
        <v>60</v>
      </c>
      <c r="J246" s="21">
        <f>1+0.0218</f>
        <v>1.0218</v>
      </c>
      <c r="K246" s="22">
        <f t="shared" si="26"/>
        <v>32.243007999999996</v>
      </c>
      <c r="L246" s="37">
        <v>553</v>
      </c>
    </row>
    <row r="247" spans="1:12" ht="12.75">
      <c r="A247" s="11"/>
      <c r="B247" s="12">
        <v>4</v>
      </c>
      <c r="C247" s="12">
        <v>6221</v>
      </c>
      <c r="D247" s="12" t="s">
        <v>249</v>
      </c>
      <c r="E247" s="12" t="s">
        <v>15</v>
      </c>
      <c r="F247" s="13" t="s">
        <v>300</v>
      </c>
      <c r="G247" s="12">
        <v>29.15</v>
      </c>
      <c r="H247" s="14" t="s">
        <v>136</v>
      </c>
      <c r="I247" s="15">
        <v>64</v>
      </c>
      <c r="J247" s="21">
        <f>1+0.0218</f>
        <v>1.0218</v>
      </c>
      <c r="K247" s="22">
        <f t="shared" si="26"/>
        <v>29.78047</v>
      </c>
      <c r="L247" s="37">
        <v>509</v>
      </c>
    </row>
    <row r="248" spans="1:12" ht="12.75">
      <c r="A248" s="11"/>
      <c r="B248" s="12">
        <v>5</v>
      </c>
      <c r="C248" s="12">
        <v>9902</v>
      </c>
      <c r="D248" s="12" t="s">
        <v>134</v>
      </c>
      <c r="E248" s="12" t="s">
        <v>19</v>
      </c>
      <c r="F248" s="13" t="s">
        <v>301</v>
      </c>
      <c r="G248" s="12">
        <v>28.65</v>
      </c>
      <c r="H248" s="14" t="s">
        <v>136</v>
      </c>
      <c r="I248" s="15">
        <v>65</v>
      </c>
      <c r="J248" s="21">
        <f>1+0.0218</f>
        <v>1.0218</v>
      </c>
      <c r="K248" s="22">
        <f t="shared" si="26"/>
        <v>29.26957</v>
      </c>
      <c r="L248" s="37">
        <v>500</v>
      </c>
    </row>
    <row r="249" spans="1:12" ht="12.75">
      <c r="A249" s="11"/>
      <c r="B249" s="12">
        <v>6</v>
      </c>
      <c r="C249" s="12">
        <v>5246</v>
      </c>
      <c r="D249" s="12" t="s">
        <v>251</v>
      </c>
      <c r="E249" s="12" t="s">
        <v>252</v>
      </c>
      <c r="F249" s="13" t="s">
        <v>302</v>
      </c>
      <c r="G249" s="12">
        <v>25.17</v>
      </c>
      <c r="H249" s="14" t="s">
        <v>141</v>
      </c>
      <c r="I249" s="15">
        <v>56</v>
      </c>
      <c r="J249" s="21">
        <f>1+0.1103</f>
        <v>1.1103</v>
      </c>
      <c r="K249" s="22">
        <f t="shared" si="26"/>
        <v>27.941251000000005</v>
      </c>
      <c r="L249" s="37">
        <v>475</v>
      </c>
    </row>
    <row r="250" spans="1:12" ht="12.75">
      <c r="A250" s="11"/>
      <c r="B250" s="12"/>
      <c r="C250" s="12"/>
      <c r="D250" s="12"/>
      <c r="E250" s="12"/>
      <c r="F250" s="13"/>
      <c r="G250" s="12"/>
      <c r="H250" s="14"/>
      <c r="I250" s="15"/>
      <c r="J250" s="21"/>
      <c r="K250" s="21"/>
      <c r="L250" s="37"/>
    </row>
    <row r="251" spans="1:12" ht="12.75">
      <c r="A251" s="11" t="s">
        <v>423</v>
      </c>
      <c r="B251" s="12"/>
      <c r="C251" s="12"/>
      <c r="D251" s="12"/>
      <c r="E251" s="12"/>
      <c r="F251" s="13"/>
      <c r="G251" s="12"/>
      <c r="H251" s="14"/>
      <c r="I251" s="15"/>
      <c r="J251" s="21"/>
      <c r="K251" s="21"/>
      <c r="L251" s="37"/>
    </row>
    <row r="252" spans="1:12" ht="12.75">
      <c r="A252" s="11"/>
      <c r="B252" s="12">
        <v>2</v>
      </c>
      <c r="C252" s="12">
        <v>4534</v>
      </c>
      <c r="D252" s="12" t="s">
        <v>258</v>
      </c>
      <c r="E252" s="12" t="s">
        <v>237</v>
      </c>
      <c r="F252" s="13" t="s">
        <v>304</v>
      </c>
      <c r="G252" s="17">
        <v>32.2</v>
      </c>
      <c r="H252" s="14" t="s">
        <v>260</v>
      </c>
      <c r="I252" s="15">
        <v>48</v>
      </c>
      <c r="J252" s="21">
        <f>1+0.1637</f>
        <v>1.1637</v>
      </c>
      <c r="K252" s="22">
        <f aca="true" t="shared" si="27" ref="K252:K260">G252*J252-0.005</f>
        <v>37.46614</v>
      </c>
      <c r="L252" s="37">
        <v>648</v>
      </c>
    </row>
    <row r="253" spans="1:12" ht="12.75">
      <c r="A253" s="11"/>
      <c r="B253" s="12">
        <v>1</v>
      </c>
      <c r="C253" s="12">
        <v>6130</v>
      </c>
      <c r="D253" s="12" t="s">
        <v>256</v>
      </c>
      <c r="E253" s="12" t="s">
        <v>53</v>
      </c>
      <c r="F253" s="13" t="s">
        <v>303</v>
      </c>
      <c r="G253" s="12">
        <v>32.28</v>
      </c>
      <c r="H253" s="14" t="s">
        <v>151</v>
      </c>
      <c r="I253" s="15">
        <v>51</v>
      </c>
      <c r="J253" s="21">
        <f>1+0.0628</f>
        <v>1.0628</v>
      </c>
      <c r="K253" s="22">
        <f t="shared" si="27"/>
        <v>34.302184</v>
      </c>
      <c r="L253" s="37">
        <v>591</v>
      </c>
    </row>
    <row r="254" spans="1:12" ht="12.75">
      <c r="A254" s="11"/>
      <c r="B254" s="12">
        <v>4</v>
      </c>
      <c r="C254" s="12">
        <v>5567</v>
      </c>
      <c r="D254" s="12" t="s">
        <v>263</v>
      </c>
      <c r="E254" s="12" t="s">
        <v>7</v>
      </c>
      <c r="F254" s="13" t="s">
        <v>307</v>
      </c>
      <c r="G254" s="12">
        <v>29.07</v>
      </c>
      <c r="H254" s="14" t="s">
        <v>260</v>
      </c>
      <c r="I254" s="15">
        <v>48</v>
      </c>
      <c r="J254" s="21">
        <f>1+0.1637</f>
        <v>1.1637</v>
      </c>
      <c r="K254" s="22">
        <f t="shared" si="27"/>
        <v>33.823758999999995</v>
      </c>
      <c r="L254" s="37">
        <v>582</v>
      </c>
    </row>
    <row r="255" spans="1:12" ht="12.75">
      <c r="A255" s="11"/>
      <c r="B255" s="12">
        <v>3</v>
      </c>
      <c r="C255" s="12">
        <v>6729</v>
      </c>
      <c r="D255" s="12" t="s">
        <v>305</v>
      </c>
      <c r="E255" s="12" t="s">
        <v>29</v>
      </c>
      <c r="F255" s="13" t="s">
        <v>306</v>
      </c>
      <c r="G255" s="12">
        <v>30.88</v>
      </c>
      <c r="H255" s="14" t="s">
        <v>151</v>
      </c>
      <c r="I255" s="15">
        <v>50</v>
      </c>
      <c r="J255" s="21">
        <f>1+0.0628</f>
        <v>1.0628</v>
      </c>
      <c r="K255" s="22">
        <f t="shared" si="27"/>
        <v>32.814263999999994</v>
      </c>
      <c r="L255" s="37">
        <v>564</v>
      </c>
    </row>
    <row r="256" spans="1:12" ht="12.75">
      <c r="A256" s="11"/>
      <c r="B256" s="12">
        <v>5</v>
      </c>
      <c r="C256" s="12">
        <v>6759</v>
      </c>
      <c r="D256" s="12" t="s">
        <v>261</v>
      </c>
      <c r="E256" s="12" t="s">
        <v>72</v>
      </c>
      <c r="F256" s="13" t="s">
        <v>308</v>
      </c>
      <c r="G256" s="17">
        <v>25.1</v>
      </c>
      <c r="H256" s="14" t="s">
        <v>260</v>
      </c>
      <c r="I256" s="15">
        <v>48</v>
      </c>
      <c r="J256" s="21">
        <f>1+0.1637</f>
        <v>1.1637</v>
      </c>
      <c r="K256" s="22">
        <f t="shared" si="27"/>
        <v>29.203870000000002</v>
      </c>
      <c r="L256" s="37">
        <v>498</v>
      </c>
    </row>
    <row r="257" spans="1:12" ht="12.75">
      <c r="A257" s="11"/>
      <c r="B257" s="12">
        <v>6</v>
      </c>
      <c r="C257" s="12">
        <v>5512</v>
      </c>
      <c r="D257" s="12" t="s">
        <v>309</v>
      </c>
      <c r="E257" s="12" t="s">
        <v>81</v>
      </c>
      <c r="F257" s="13" t="s">
        <v>310</v>
      </c>
      <c r="G257" s="17">
        <v>23.4</v>
      </c>
      <c r="H257" s="14" t="s">
        <v>260</v>
      </c>
      <c r="I257" s="15">
        <v>45</v>
      </c>
      <c r="J257" s="21">
        <f>1+0.1637</f>
        <v>1.1637</v>
      </c>
      <c r="K257" s="22">
        <f t="shared" si="27"/>
        <v>27.225579999999997</v>
      </c>
      <c r="L257" s="37">
        <v>463</v>
      </c>
    </row>
    <row r="258" spans="1:12" ht="12.75">
      <c r="A258" s="11"/>
      <c r="B258" s="12">
        <v>7</v>
      </c>
      <c r="C258" s="12">
        <v>5407</v>
      </c>
      <c r="D258" s="12" t="s">
        <v>270</v>
      </c>
      <c r="E258" s="12" t="s">
        <v>49</v>
      </c>
      <c r="F258" s="13" t="s">
        <v>311</v>
      </c>
      <c r="G258" s="12">
        <v>15.95</v>
      </c>
      <c r="H258" s="14" t="s">
        <v>269</v>
      </c>
      <c r="I258" s="15">
        <v>32</v>
      </c>
      <c r="J258" s="21">
        <f>1+0.6441</f>
        <v>1.6441</v>
      </c>
      <c r="K258" s="22">
        <f t="shared" si="27"/>
        <v>26.218394999999997</v>
      </c>
      <c r="L258" s="37">
        <v>444</v>
      </c>
    </row>
    <row r="259" spans="1:12" ht="12.75">
      <c r="A259" s="11"/>
      <c r="B259" s="12">
        <v>8</v>
      </c>
      <c r="C259" s="12">
        <v>6037</v>
      </c>
      <c r="D259" s="12" t="s">
        <v>267</v>
      </c>
      <c r="E259" s="12" t="s">
        <v>10</v>
      </c>
      <c r="F259" s="13" t="s">
        <v>312</v>
      </c>
      <c r="G259" s="12">
        <v>14.27</v>
      </c>
      <c r="H259" s="14" t="s">
        <v>269</v>
      </c>
      <c r="I259" s="15">
        <v>34</v>
      </c>
      <c r="J259" s="21">
        <f>1+0.6441</f>
        <v>1.6441</v>
      </c>
      <c r="K259" s="22">
        <f t="shared" si="27"/>
        <v>23.456307</v>
      </c>
      <c r="L259" s="37">
        <v>394</v>
      </c>
    </row>
    <row r="260" spans="1:12" ht="12.75">
      <c r="A260" s="11"/>
      <c r="B260" s="12">
        <v>9</v>
      </c>
      <c r="C260" s="12">
        <v>5513</v>
      </c>
      <c r="D260" s="12" t="s">
        <v>272</v>
      </c>
      <c r="E260" s="12" t="s">
        <v>81</v>
      </c>
      <c r="F260" s="13" t="s">
        <v>313</v>
      </c>
      <c r="G260" s="12">
        <v>10.09</v>
      </c>
      <c r="H260" s="14" t="s">
        <v>274</v>
      </c>
      <c r="I260" s="15">
        <v>25</v>
      </c>
      <c r="J260" s="21">
        <f>1+0.9508</f>
        <v>1.9508</v>
      </c>
      <c r="K260" s="22">
        <f t="shared" si="27"/>
        <v>19.678572000000003</v>
      </c>
      <c r="L260" s="37">
        <v>326</v>
      </c>
    </row>
    <row r="261" spans="1:12" ht="12.75">
      <c r="A261" s="11"/>
      <c r="B261" s="12"/>
      <c r="C261" s="12"/>
      <c r="D261" s="12"/>
      <c r="E261" s="12"/>
      <c r="F261" s="13"/>
      <c r="G261" s="12"/>
      <c r="H261" s="14"/>
      <c r="I261" s="15"/>
      <c r="J261" s="21"/>
      <c r="K261" s="21"/>
      <c r="L261" s="37"/>
    </row>
    <row r="262" spans="1:12" ht="12.75">
      <c r="A262" s="11" t="s">
        <v>424</v>
      </c>
      <c r="B262" s="12"/>
      <c r="C262" s="12"/>
      <c r="D262" s="12"/>
      <c r="E262" s="12"/>
      <c r="F262" s="13"/>
      <c r="G262" s="12"/>
      <c r="H262" s="14"/>
      <c r="I262" s="15"/>
      <c r="J262" s="21"/>
      <c r="K262" s="21"/>
      <c r="L262" s="37"/>
    </row>
    <row r="263" spans="1:12" ht="12.75">
      <c r="A263" s="11"/>
      <c r="B263" s="12">
        <v>1</v>
      </c>
      <c r="C263" s="12">
        <v>5572</v>
      </c>
      <c r="D263" s="12" t="s">
        <v>157</v>
      </c>
      <c r="E263" s="12" t="s">
        <v>32</v>
      </c>
      <c r="F263" s="13" t="s">
        <v>314</v>
      </c>
      <c r="G263" s="12">
        <v>1.74</v>
      </c>
      <c r="H263" s="14" t="s">
        <v>138</v>
      </c>
      <c r="I263" s="15">
        <v>68</v>
      </c>
      <c r="J263" s="21">
        <f>1+0.1022</f>
        <v>1.1022</v>
      </c>
      <c r="K263" s="22">
        <f aca="true" t="shared" si="28" ref="K263:K274">G263*J263-0.005</f>
        <v>1.9128280000000002</v>
      </c>
      <c r="L263" s="37">
        <v>836</v>
      </c>
    </row>
    <row r="264" spans="1:12" ht="12.75">
      <c r="A264" s="11"/>
      <c r="B264" s="12">
        <v>4</v>
      </c>
      <c r="C264" s="12">
        <v>4687</v>
      </c>
      <c r="D264" s="12" t="s">
        <v>284</v>
      </c>
      <c r="E264" s="12" t="s">
        <v>285</v>
      </c>
      <c r="F264" s="13" t="s">
        <v>317</v>
      </c>
      <c r="G264" s="12">
        <v>1.41</v>
      </c>
      <c r="H264" s="14" t="s">
        <v>141</v>
      </c>
      <c r="I264" s="15">
        <v>57</v>
      </c>
      <c r="J264" s="21">
        <f>1+0.228</f>
        <v>1.228</v>
      </c>
      <c r="K264" s="22">
        <f t="shared" si="28"/>
        <v>1.72648</v>
      </c>
      <c r="L264" s="37">
        <v>680</v>
      </c>
    </row>
    <row r="265" spans="1:12" ht="12.75">
      <c r="A265" s="11"/>
      <c r="B265" s="12">
        <v>3</v>
      </c>
      <c r="C265" s="12">
        <v>6179</v>
      </c>
      <c r="D265" s="12" t="s">
        <v>135</v>
      </c>
      <c r="E265" s="12" t="s">
        <v>22</v>
      </c>
      <c r="F265" s="13" t="s">
        <v>316</v>
      </c>
      <c r="G265" s="12">
        <v>1.44</v>
      </c>
      <c r="H265" s="14" t="s">
        <v>136</v>
      </c>
      <c r="I265" s="15">
        <v>65</v>
      </c>
      <c r="J265" s="21">
        <f>1+0.1617</f>
        <v>1.1617</v>
      </c>
      <c r="K265" s="22">
        <f t="shared" si="28"/>
        <v>1.667848</v>
      </c>
      <c r="L265" s="37">
        <v>629</v>
      </c>
    </row>
    <row r="266" spans="1:12" ht="12.75">
      <c r="A266" s="11"/>
      <c r="B266" s="12">
        <v>6</v>
      </c>
      <c r="C266" s="12">
        <v>6295</v>
      </c>
      <c r="D266" s="12" t="s">
        <v>202</v>
      </c>
      <c r="E266" s="12" t="s">
        <v>5</v>
      </c>
      <c r="F266" s="13" t="s">
        <v>317</v>
      </c>
      <c r="G266" s="12">
        <v>1.41</v>
      </c>
      <c r="H266" s="14" t="s">
        <v>136</v>
      </c>
      <c r="I266" s="15">
        <v>63</v>
      </c>
      <c r="J266" s="21">
        <f>1+0.1617</f>
        <v>1.1617</v>
      </c>
      <c r="K266" s="22">
        <f t="shared" si="28"/>
        <v>1.632997</v>
      </c>
      <c r="L266" s="37">
        <v>595</v>
      </c>
    </row>
    <row r="267" spans="1:12" ht="12.75">
      <c r="A267" s="11"/>
      <c r="B267" s="12">
        <v>2</v>
      </c>
      <c r="C267" s="12">
        <v>6877</v>
      </c>
      <c r="D267" s="12" t="s">
        <v>188</v>
      </c>
      <c r="E267" s="12" t="s">
        <v>189</v>
      </c>
      <c r="F267" s="13" t="s">
        <v>315</v>
      </c>
      <c r="G267" s="12">
        <v>1.56</v>
      </c>
      <c r="H267" s="14" t="s">
        <v>155</v>
      </c>
      <c r="I267" s="15">
        <v>78</v>
      </c>
      <c r="J267" s="24">
        <f>1+0.026</f>
        <v>1.026</v>
      </c>
      <c r="K267" s="22">
        <f t="shared" si="28"/>
        <v>1.59556</v>
      </c>
      <c r="L267" s="37">
        <v>570</v>
      </c>
    </row>
    <row r="268" spans="1:12" ht="12.75">
      <c r="A268" s="11"/>
      <c r="B268" s="12">
        <v>8</v>
      </c>
      <c r="C268" s="12">
        <v>6603</v>
      </c>
      <c r="D268" s="12" t="s">
        <v>319</v>
      </c>
      <c r="E268" s="12" t="s">
        <v>29</v>
      </c>
      <c r="F268" s="13" t="s">
        <v>320</v>
      </c>
      <c r="G268" s="12">
        <v>1.35</v>
      </c>
      <c r="H268" s="14" t="s">
        <v>136</v>
      </c>
      <c r="I268" s="15">
        <v>64</v>
      </c>
      <c r="J268" s="21">
        <f>1+0.1617</f>
        <v>1.1617</v>
      </c>
      <c r="K268" s="22">
        <f t="shared" si="28"/>
        <v>1.563295</v>
      </c>
      <c r="L268" s="37">
        <v>536</v>
      </c>
    </row>
    <row r="269" spans="1:12" ht="12.75">
      <c r="A269" s="11"/>
      <c r="B269" s="12">
        <v>12</v>
      </c>
      <c r="C269" s="12">
        <v>5513</v>
      </c>
      <c r="D269" s="12" t="s">
        <v>272</v>
      </c>
      <c r="E269" s="12" t="s">
        <v>81</v>
      </c>
      <c r="F269" s="13" t="s">
        <v>324</v>
      </c>
      <c r="G269" s="17">
        <v>0.9</v>
      </c>
      <c r="H269" s="14" t="s">
        <v>274</v>
      </c>
      <c r="I269" s="15">
        <v>25</v>
      </c>
      <c r="J269" s="21">
        <f>1+0.7241</f>
        <v>1.7241</v>
      </c>
      <c r="K269" s="22">
        <f t="shared" si="28"/>
        <v>1.5466900000000001</v>
      </c>
      <c r="L269" s="37">
        <v>527</v>
      </c>
    </row>
    <row r="270" spans="1:12" ht="12.75">
      <c r="A270" s="11"/>
      <c r="B270" s="12">
        <v>10</v>
      </c>
      <c r="C270" s="12">
        <v>6966</v>
      </c>
      <c r="D270" s="12" t="s">
        <v>322</v>
      </c>
      <c r="E270" s="12" t="s">
        <v>35</v>
      </c>
      <c r="F270" s="13" t="s">
        <v>323</v>
      </c>
      <c r="G270" s="12">
        <v>1.25</v>
      </c>
      <c r="H270" s="14" t="s">
        <v>136</v>
      </c>
      <c r="I270" s="15">
        <v>63</v>
      </c>
      <c r="J270" s="21">
        <f>1+0.1617</f>
        <v>1.1617</v>
      </c>
      <c r="K270" s="22">
        <f t="shared" si="28"/>
        <v>1.447125</v>
      </c>
      <c r="L270" s="37">
        <v>443</v>
      </c>
    </row>
    <row r="271" spans="1:12" ht="12.75">
      <c r="A271" s="11"/>
      <c r="B271" s="12">
        <v>7</v>
      </c>
      <c r="C271" s="12">
        <v>6254</v>
      </c>
      <c r="D271" s="12" t="s">
        <v>147</v>
      </c>
      <c r="E271" s="12" t="s">
        <v>10</v>
      </c>
      <c r="F271" s="13" t="s">
        <v>318</v>
      </c>
      <c r="G271" s="12">
        <v>1.38</v>
      </c>
      <c r="H271" s="14" t="s">
        <v>148</v>
      </c>
      <c r="I271" s="15">
        <v>72</v>
      </c>
      <c r="J271" s="21">
        <f>1+0.0486</f>
        <v>1.0486</v>
      </c>
      <c r="K271" s="22">
        <f t="shared" si="28"/>
        <v>1.442068</v>
      </c>
      <c r="L271" s="37">
        <v>435</v>
      </c>
    </row>
    <row r="272" spans="1:12" ht="12.75">
      <c r="A272" s="11"/>
      <c r="B272" s="12">
        <v>5</v>
      </c>
      <c r="C272" s="12">
        <v>7136</v>
      </c>
      <c r="D272" s="12" t="s">
        <v>282</v>
      </c>
      <c r="E272" s="12" t="s">
        <v>40</v>
      </c>
      <c r="F272" s="13" t="s">
        <v>317</v>
      </c>
      <c r="G272" s="12">
        <v>1.41</v>
      </c>
      <c r="H272" s="14" t="s">
        <v>155</v>
      </c>
      <c r="I272" s="15">
        <v>75</v>
      </c>
      <c r="J272" s="24">
        <f>1+0.026</f>
        <v>1.026</v>
      </c>
      <c r="K272" s="22">
        <f t="shared" si="28"/>
        <v>1.4416600000000002</v>
      </c>
      <c r="L272" s="37">
        <v>435</v>
      </c>
    </row>
    <row r="273" spans="1:12" ht="12.75">
      <c r="A273" s="11"/>
      <c r="B273" s="12">
        <v>9</v>
      </c>
      <c r="C273" s="12">
        <v>5366</v>
      </c>
      <c r="D273" s="12" t="s">
        <v>137</v>
      </c>
      <c r="E273" s="12" t="s">
        <v>126</v>
      </c>
      <c r="F273" s="13" t="s">
        <v>321</v>
      </c>
      <c r="G273" s="17">
        <v>1.3</v>
      </c>
      <c r="H273" s="14" t="s">
        <v>138</v>
      </c>
      <c r="I273" s="15">
        <v>65</v>
      </c>
      <c r="J273" s="21">
        <f>1+0.1022</f>
        <v>1.1022</v>
      </c>
      <c r="K273" s="22">
        <f t="shared" si="28"/>
        <v>1.4278600000000004</v>
      </c>
      <c r="L273" s="37">
        <v>426</v>
      </c>
    </row>
    <row r="274" spans="1:12" ht="12.75">
      <c r="A274" s="11"/>
      <c r="B274" s="12">
        <v>11</v>
      </c>
      <c r="C274" s="12">
        <v>5280</v>
      </c>
      <c r="D274" s="12" t="s">
        <v>289</v>
      </c>
      <c r="E274" s="12" t="s">
        <v>81</v>
      </c>
      <c r="F274" s="13" t="s">
        <v>90</v>
      </c>
      <c r="G274" s="17">
        <v>1.1</v>
      </c>
      <c r="H274" s="14" t="s">
        <v>151</v>
      </c>
      <c r="I274" s="15">
        <v>53</v>
      </c>
      <c r="J274" s="21">
        <f>1+0.3025</f>
        <v>1.3025</v>
      </c>
      <c r="K274" s="22">
        <f t="shared" si="28"/>
        <v>1.4277500000000003</v>
      </c>
      <c r="L274" s="37">
        <v>426</v>
      </c>
    </row>
    <row r="275" spans="1:12" ht="12.75">
      <c r="A275" s="11"/>
      <c r="B275" s="12"/>
      <c r="C275" s="12"/>
      <c r="D275" s="12"/>
      <c r="E275" s="12"/>
      <c r="F275" s="13"/>
      <c r="G275" s="12"/>
      <c r="H275" s="14"/>
      <c r="I275" s="15"/>
      <c r="J275" s="21"/>
      <c r="K275" s="21"/>
      <c r="L275" s="37"/>
    </row>
    <row r="276" spans="1:12" ht="12.75">
      <c r="A276" s="11" t="s">
        <v>425</v>
      </c>
      <c r="B276" s="12"/>
      <c r="C276" s="12"/>
      <c r="D276" s="12"/>
      <c r="E276" s="12"/>
      <c r="F276" s="13"/>
      <c r="G276" s="12"/>
      <c r="H276" s="14"/>
      <c r="I276" s="15"/>
      <c r="J276" s="21"/>
      <c r="K276" s="21"/>
      <c r="L276" s="37"/>
    </row>
    <row r="277" spans="1:12" ht="12.75">
      <c r="A277" s="11"/>
      <c r="B277" s="12">
        <v>2</v>
      </c>
      <c r="C277" s="12">
        <v>5700</v>
      </c>
      <c r="D277" s="12" t="s">
        <v>326</v>
      </c>
      <c r="E277" s="12" t="s">
        <v>15</v>
      </c>
      <c r="F277" s="13" t="s">
        <v>327</v>
      </c>
      <c r="G277" s="12">
        <v>35.91</v>
      </c>
      <c r="H277" s="14" t="s">
        <v>138</v>
      </c>
      <c r="I277" s="15">
        <v>68</v>
      </c>
      <c r="J277" s="21">
        <f>1+0.1716</f>
        <v>1.1716</v>
      </c>
      <c r="K277" s="22">
        <f aca="true" t="shared" si="29" ref="K277:K284">G277*J277-0.005</f>
        <v>42.06715599999999</v>
      </c>
      <c r="L277" s="37">
        <v>561</v>
      </c>
    </row>
    <row r="278" spans="1:12" ht="12.75">
      <c r="A278" s="11"/>
      <c r="B278" s="12">
        <v>1</v>
      </c>
      <c r="C278" s="12">
        <v>9901</v>
      </c>
      <c r="D278" s="12" t="s">
        <v>160</v>
      </c>
      <c r="E278" s="12" t="s">
        <v>19</v>
      </c>
      <c r="F278" s="13" t="s">
        <v>325</v>
      </c>
      <c r="G278" s="12">
        <v>37.72</v>
      </c>
      <c r="H278" s="14" t="s">
        <v>148</v>
      </c>
      <c r="I278" s="15">
        <v>73</v>
      </c>
      <c r="J278" s="21">
        <f>1+0.0862</f>
        <v>1.0862</v>
      </c>
      <c r="K278" s="22">
        <f t="shared" si="29"/>
        <v>40.966463999999995</v>
      </c>
      <c r="L278" s="37">
        <v>546</v>
      </c>
    </row>
    <row r="279" spans="1:12" ht="12.75">
      <c r="A279" s="11"/>
      <c r="B279" s="12">
        <v>5</v>
      </c>
      <c r="C279" s="12">
        <v>9903</v>
      </c>
      <c r="D279" s="12" t="s">
        <v>239</v>
      </c>
      <c r="E279" s="12" t="s">
        <v>19</v>
      </c>
      <c r="F279" s="13" t="s">
        <v>330</v>
      </c>
      <c r="G279" s="12">
        <v>33.03</v>
      </c>
      <c r="H279" s="14" t="s">
        <v>138</v>
      </c>
      <c r="I279" s="15">
        <v>66</v>
      </c>
      <c r="J279" s="21">
        <f>1+0.1716</f>
        <v>1.1716</v>
      </c>
      <c r="K279" s="22">
        <f t="shared" si="29"/>
        <v>38.692948</v>
      </c>
      <c r="L279" s="37">
        <v>514</v>
      </c>
    </row>
    <row r="280" spans="1:12" ht="12.75">
      <c r="A280" s="11"/>
      <c r="B280" s="12">
        <v>3</v>
      </c>
      <c r="C280" s="12">
        <v>3603</v>
      </c>
      <c r="D280" s="12" t="s">
        <v>236</v>
      </c>
      <c r="E280" s="12" t="s">
        <v>237</v>
      </c>
      <c r="F280" s="13" t="s">
        <v>328</v>
      </c>
      <c r="G280" s="12">
        <v>34.33</v>
      </c>
      <c r="H280" s="14" t="s">
        <v>148</v>
      </c>
      <c r="I280" s="15">
        <v>73</v>
      </c>
      <c r="J280" s="21">
        <f>1+0.0862</f>
        <v>1.0862</v>
      </c>
      <c r="K280" s="22">
        <f t="shared" si="29"/>
        <v>37.284245999999996</v>
      </c>
      <c r="L280" s="37">
        <v>494</v>
      </c>
    </row>
    <row r="281" spans="1:12" ht="12.75">
      <c r="A281" s="11"/>
      <c r="B281" s="12">
        <v>4</v>
      </c>
      <c r="C281" s="12">
        <v>6078</v>
      </c>
      <c r="D281" s="12" t="s">
        <v>241</v>
      </c>
      <c r="E281" s="12" t="s">
        <v>2</v>
      </c>
      <c r="F281" s="13" t="s">
        <v>329</v>
      </c>
      <c r="G281" s="17">
        <v>33.7</v>
      </c>
      <c r="H281" s="14" t="s">
        <v>148</v>
      </c>
      <c r="I281" s="15">
        <v>70</v>
      </c>
      <c r="J281" s="21">
        <f>1+0.0862</f>
        <v>1.0862</v>
      </c>
      <c r="K281" s="22">
        <f t="shared" si="29"/>
        <v>36.599940000000004</v>
      </c>
      <c r="L281" s="37">
        <v>485</v>
      </c>
    </row>
    <row r="282" spans="1:12" ht="12.75">
      <c r="A282" s="11"/>
      <c r="B282" s="12">
        <v>6</v>
      </c>
      <c r="C282" s="12">
        <v>6268</v>
      </c>
      <c r="D282" s="12" t="s">
        <v>192</v>
      </c>
      <c r="E282" s="12" t="s">
        <v>32</v>
      </c>
      <c r="F282" s="13" t="s">
        <v>331</v>
      </c>
      <c r="G282" s="12">
        <v>28.27</v>
      </c>
      <c r="H282" s="14" t="s">
        <v>138</v>
      </c>
      <c r="I282" s="15">
        <v>69</v>
      </c>
      <c r="J282" s="21">
        <f>1+0.1716</f>
        <v>1.1716</v>
      </c>
      <c r="K282" s="22">
        <f t="shared" si="29"/>
        <v>33.11613199999999</v>
      </c>
      <c r="L282" s="37">
        <v>437</v>
      </c>
    </row>
    <row r="283" spans="1:12" ht="12.75">
      <c r="A283" s="11"/>
      <c r="B283" s="12">
        <v>7</v>
      </c>
      <c r="C283" s="12">
        <v>5393</v>
      </c>
      <c r="D283" s="12" t="s">
        <v>245</v>
      </c>
      <c r="E283" s="12" t="s">
        <v>143</v>
      </c>
      <c r="F283" s="13" t="s">
        <v>332</v>
      </c>
      <c r="G283" s="12">
        <v>26.38</v>
      </c>
      <c r="H283" s="14" t="s">
        <v>155</v>
      </c>
      <c r="I283" s="15">
        <v>76</v>
      </c>
      <c r="J283" s="21">
        <f>1+0.0126</f>
        <v>1.0126</v>
      </c>
      <c r="K283" s="22">
        <f t="shared" si="29"/>
        <v>26.707387999999998</v>
      </c>
      <c r="L283" s="37">
        <v>348</v>
      </c>
    </row>
    <row r="284" spans="1:12" ht="12.75">
      <c r="A284" s="11"/>
      <c r="B284" s="12">
        <v>8</v>
      </c>
      <c r="C284" s="12">
        <v>4884</v>
      </c>
      <c r="D284" s="12" t="s">
        <v>146</v>
      </c>
      <c r="E284" s="12" t="s">
        <v>7</v>
      </c>
      <c r="F284" s="13" t="s">
        <v>333</v>
      </c>
      <c r="G284" s="12">
        <v>21.59</v>
      </c>
      <c r="H284" s="14" t="s">
        <v>138</v>
      </c>
      <c r="I284" s="15">
        <v>68</v>
      </c>
      <c r="J284" s="21">
        <f>1+0.1716</f>
        <v>1.1716</v>
      </c>
      <c r="K284" s="22">
        <f t="shared" si="29"/>
        <v>25.289844</v>
      </c>
      <c r="L284" s="37">
        <v>331</v>
      </c>
    </row>
    <row r="285" spans="1:12" ht="12.75">
      <c r="A285" s="11"/>
      <c r="B285" s="12"/>
      <c r="C285" s="12">
        <v>6443</v>
      </c>
      <c r="D285" s="12" t="s">
        <v>243</v>
      </c>
      <c r="E285" s="12" t="s">
        <v>32</v>
      </c>
      <c r="F285" s="13" t="s">
        <v>161</v>
      </c>
      <c r="G285" s="12"/>
      <c r="H285" s="14" t="s">
        <v>138</v>
      </c>
      <c r="I285" s="15">
        <v>69</v>
      </c>
      <c r="J285" s="21">
        <f>1+0.1716</f>
        <v>1.1716</v>
      </c>
      <c r="K285" s="22"/>
      <c r="L285" s="37"/>
    </row>
    <row r="286" spans="1:12" ht="12.75">
      <c r="A286" s="11"/>
      <c r="B286" s="12"/>
      <c r="C286" s="12"/>
      <c r="D286" s="12"/>
      <c r="E286" s="12"/>
      <c r="F286" s="13"/>
      <c r="G286" s="12"/>
      <c r="H286" s="14"/>
      <c r="I286" s="15"/>
      <c r="J286" s="21"/>
      <c r="K286" s="21"/>
      <c r="L286" s="37"/>
    </row>
    <row r="287" spans="1:12" ht="12.75">
      <c r="A287" s="11" t="s">
        <v>426</v>
      </c>
      <c r="B287" s="12"/>
      <c r="C287" s="12"/>
      <c r="D287" s="12"/>
      <c r="E287" s="12"/>
      <c r="F287" s="13"/>
      <c r="G287" s="12"/>
      <c r="H287" s="14"/>
      <c r="I287" s="15"/>
      <c r="J287" s="21"/>
      <c r="K287" s="21"/>
      <c r="L287" s="37"/>
    </row>
    <row r="288" spans="1:12" ht="12.75">
      <c r="A288" s="11"/>
      <c r="B288" s="12">
        <v>2</v>
      </c>
      <c r="C288" s="12">
        <v>6930</v>
      </c>
      <c r="D288" s="12" t="s">
        <v>279</v>
      </c>
      <c r="E288" s="12" t="s">
        <v>22</v>
      </c>
      <c r="F288" s="13" t="s">
        <v>335</v>
      </c>
      <c r="G288" s="12">
        <v>35.02</v>
      </c>
      <c r="H288" s="14" t="s">
        <v>141</v>
      </c>
      <c r="I288" s="15">
        <v>59</v>
      </c>
      <c r="J288" s="24">
        <f>1+0.338</f>
        <v>1.338</v>
      </c>
      <c r="K288" s="22">
        <f aca="true" t="shared" si="30" ref="K288:K293">G288*J288-0.005</f>
        <v>46.851760000000006</v>
      </c>
      <c r="L288" s="37">
        <v>627</v>
      </c>
    </row>
    <row r="289" spans="1:12" ht="12.75">
      <c r="A289" s="11"/>
      <c r="B289" s="12">
        <v>1</v>
      </c>
      <c r="C289" s="12">
        <v>9902</v>
      </c>
      <c r="D289" s="12" t="s">
        <v>134</v>
      </c>
      <c r="E289" s="12" t="s">
        <v>19</v>
      </c>
      <c r="F289" s="13" t="s">
        <v>334</v>
      </c>
      <c r="G289" s="12">
        <v>37.99</v>
      </c>
      <c r="H289" s="14" t="s">
        <v>136</v>
      </c>
      <c r="I289" s="15">
        <v>65</v>
      </c>
      <c r="J289" s="21">
        <f>1+0.2278</f>
        <v>1.2278</v>
      </c>
      <c r="K289" s="22">
        <f t="shared" si="30"/>
        <v>46.639122</v>
      </c>
      <c r="L289" s="37">
        <v>625</v>
      </c>
    </row>
    <row r="290" spans="1:12" ht="12.75">
      <c r="A290" s="11"/>
      <c r="B290" s="12">
        <v>3</v>
      </c>
      <c r="C290" s="12">
        <v>4473</v>
      </c>
      <c r="D290" s="12" t="s">
        <v>247</v>
      </c>
      <c r="E290" s="12" t="s">
        <v>237</v>
      </c>
      <c r="F290" s="13" t="s">
        <v>336</v>
      </c>
      <c r="G290" s="12">
        <v>31.85</v>
      </c>
      <c r="H290" s="14" t="s">
        <v>136</v>
      </c>
      <c r="I290" s="15">
        <v>62</v>
      </c>
      <c r="J290" s="21">
        <f>1+0.2278</f>
        <v>1.2278</v>
      </c>
      <c r="K290" s="22">
        <f t="shared" si="30"/>
        <v>39.100429999999996</v>
      </c>
      <c r="L290" s="37">
        <v>520</v>
      </c>
    </row>
    <row r="291" spans="1:12" ht="12.75">
      <c r="A291" s="11"/>
      <c r="B291" s="12">
        <v>4</v>
      </c>
      <c r="C291" s="12">
        <v>6966</v>
      </c>
      <c r="D291" s="12" t="s">
        <v>322</v>
      </c>
      <c r="E291" s="12" t="s">
        <v>35</v>
      </c>
      <c r="F291" s="13" t="s">
        <v>337</v>
      </c>
      <c r="G291" s="12">
        <v>29.26</v>
      </c>
      <c r="H291" s="14" t="s">
        <v>136</v>
      </c>
      <c r="I291" s="15">
        <v>63</v>
      </c>
      <c r="J291" s="21">
        <f>1+0.2278</f>
        <v>1.2278</v>
      </c>
      <c r="K291" s="22">
        <f t="shared" si="30"/>
        <v>35.920428</v>
      </c>
      <c r="L291" s="37">
        <v>476</v>
      </c>
    </row>
    <row r="292" spans="1:12" ht="12.75">
      <c r="A292" s="11"/>
      <c r="B292" s="12">
        <v>5</v>
      </c>
      <c r="C292" s="12">
        <v>6603</v>
      </c>
      <c r="D292" s="12" t="s">
        <v>319</v>
      </c>
      <c r="E292" s="12" t="s">
        <v>29</v>
      </c>
      <c r="F292" s="13" t="s">
        <v>338</v>
      </c>
      <c r="G292" s="12">
        <v>21.82</v>
      </c>
      <c r="H292" s="14" t="s">
        <v>136</v>
      </c>
      <c r="I292" s="15">
        <v>64</v>
      </c>
      <c r="J292" s="21">
        <f>1+0.2278</f>
        <v>1.2278</v>
      </c>
      <c r="K292" s="22">
        <f t="shared" si="30"/>
        <v>26.785596</v>
      </c>
      <c r="L292" s="37">
        <v>349</v>
      </c>
    </row>
    <row r="293" spans="1:12" ht="12.75">
      <c r="A293" s="11"/>
      <c r="B293" s="12">
        <v>6</v>
      </c>
      <c r="C293" s="12">
        <v>6221</v>
      </c>
      <c r="D293" s="12" t="s">
        <v>249</v>
      </c>
      <c r="E293" s="12" t="s">
        <v>15</v>
      </c>
      <c r="F293" s="13" t="s">
        <v>339</v>
      </c>
      <c r="G293" s="12">
        <v>20.06</v>
      </c>
      <c r="H293" s="14" t="s">
        <v>136</v>
      </c>
      <c r="I293" s="15">
        <v>64</v>
      </c>
      <c r="J293" s="21">
        <f>1+0.2278</f>
        <v>1.2278</v>
      </c>
      <c r="K293" s="22">
        <f t="shared" si="30"/>
        <v>24.624668</v>
      </c>
      <c r="L293" s="37">
        <v>319</v>
      </c>
    </row>
    <row r="294" spans="1:12" ht="12.75">
      <c r="A294" s="11"/>
      <c r="B294" s="12"/>
      <c r="C294" s="12">
        <v>5771</v>
      </c>
      <c r="D294" s="12" t="s">
        <v>254</v>
      </c>
      <c r="E294" s="12" t="s">
        <v>32</v>
      </c>
      <c r="F294" s="13" t="s">
        <v>161</v>
      </c>
      <c r="G294" s="12"/>
      <c r="H294" s="14" t="s">
        <v>141</v>
      </c>
      <c r="I294" s="15">
        <v>59</v>
      </c>
      <c r="J294" s="24">
        <f>1+0.338</f>
        <v>1.338</v>
      </c>
      <c r="K294" s="22"/>
      <c r="L294" s="37"/>
    </row>
    <row r="295" spans="1:12" ht="12.75">
      <c r="A295" s="11"/>
      <c r="B295" s="12"/>
      <c r="C295" s="12"/>
      <c r="D295" s="12"/>
      <c r="E295" s="12"/>
      <c r="F295" s="13"/>
      <c r="G295" s="12"/>
      <c r="H295" s="14"/>
      <c r="I295" s="15"/>
      <c r="J295" s="21"/>
      <c r="K295" s="21"/>
      <c r="L295" s="37"/>
    </row>
    <row r="296" spans="1:12" ht="12.75">
      <c r="A296" s="11" t="s">
        <v>427</v>
      </c>
      <c r="B296" s="12"/>
      <c r="C296" s="12"/>
      <c r="D296" s="12"/>
      <c r="E296" s="12"/>
      <c r="F296" s="13"/>
      <c r="G296" s="12"/>
      <c r="H296" s="14"/>
      <c r="I296" s="15"/>
      <c r="J296" s="21"/>
      <c r="K296" s="21"/>
      <c r="L296" s="37"/>
    </row>
    <row r="297" spans="1:12" ht="12.75">
      <c r="A297" s="11"/>
      <c r="B297" s="12">
        <v>1</v>
      </c>
      <c r="C297" s="12">
        <v>5512</v>
      </c>
      <c r="D297" s="12" t="s">
        <v>309</v>
      </c>
      <c r="E297" s="12" t="s">
        <v>81</v>
      </c>
      <c r="F297" s="13" t="s">
        <v>340</v>
      </c>
      <c r="G297" s="12">
        <v>30.32</v>
      </c>
      <c r="H297" s="14" t="s">
        <v>260</v>
      </c>
      <c r="I297" s="15">
        <v>45</v>
      </c>
      <c r="J297" s="21">
        <f>1+0.562</f>
        <v>1.562</v>
      </c>
      <c r="K297" s="22">
        <f>G297*J297-0.005</f>
        <v>47.35484</v>
      </c>
      <c r="L297" s="37">
        <v>635</v>
      </c>
    </row>
    <row r="298" spans="1:12" ht="12.75">
      <c r="A298" s="11"/>
      <c r="B298" s="12">
        <v>2</v>
      </c>
      <c r="C298" s="12">
        <v>4534</v>
      </c>
      <c r="D298" s="12" t="s">
        <v>258</v>
      </c>
      <c r="E298" s="12" t="s">
        <v>237</v>
      </c>
      <c r="F298" s="13" t="s">
        <v>341</v>
      </c>
      <c r="G298" s="12">
        <v>29.16</v>
      </c>
      <c r="H298" s="14" t="s">
        <v>260</v>
      </c>
      <c r="I298" s="15">
        <v>48</v>
      </c>
      <c r="J298" s="21">
        <f>1+0.562</f>
        <v>1.562</v>
      </c>
      <c r="K298" s="22">
        <f>G298*J298-0.005</f>
        <v>45.54292</v>
      </c>
      <c r="L298" s="37">
        <v>610</v>
      </c>
    </row>
    <row r="299" spans="1:12" ht="12.75">
      <c r="A299" s="11"/>
      <c r="B299" s="12">
        <v>3</v>
      </c>
      <c r="C299" s="12">
        <v>6759</v>
      </c>
      <c r="D299" s="12" t="s">
        <v>261</v>
      </c>
      <c r="E299" s="12" t="s">
        <v>72</v>
      </c>
      <c r="F299" s="13" t="s">
        <v>342</v>
      </c>
      <c r="G299" s="12">
        <v>27.69</v>
      </c>
      <c r="H299" s="14" t="s">
        <v>260</v>
      </c>
      <c r="I299" s="15">
        <v>48</v>
      </c>
      <c r="J299" s="21">
        <f>1+0.562</f>
        <v>1.562</v>
      </c>
      <c r="K299" s="22">
        <f>G299*J299-0.005</f>
        <v>43.24678</v>
      </c>
      <c r="L299" s="37">
        <v>578</v>
      </c>
    </row>
    <row r="300" spans="1:12" ht="12.75">
      <c r="A300" s="11"/>
      <c r="B300" s="12">
        <v>5</v>
      </c>
      <c r="C300" s="12">
        <v>5567</v>
      </c>
      <c r="D300" s="12" t="s">
        <v>263</v>
      </c>
      <c r="E300" s="12" t="s">
        <v>7</v>
      </c>
      <c r="F300" s="13" t="s">
        <v>344</v>
      </c>
      <c r="G300" s="12">
        <v>22.93</v>
      </c>
      <c r="H300" s="14" t="s">
        <v>260</v>
      </c>
      <c r="I300" s="15">
        <v>48</v>
      </c>
      <c r="J300" s="21">
        <f>1+0.562</f>
        <v>1.562</v>
      </c>
      <c r="K300" s="22">
        <f>G300*J300-0.005</f>
        <v>35.811659999999996</v>
      </c>
      <c r="L300" s="37">
        <v>474</v>
      </c>
    </row>
    <row r="301" spans="1:12" ht="12.75">
      <c r="A301" s="11"/>
      <c r="B301" s="12">
        <v>4</v>
      </c>
      <c r="C301" s="12">
        <v>5280</v>
      </c>
      <c r="D301" s="12" t="s">
        <v>289</v>
      </c>
      <c r="E301" s="12" t="s">
        <v>81</v>
      </c>
      <c r="F301" s="13" t="s">
        <v>343</v>
      </c>
      <c r="G301" s="12">
        <v>23.17</v>
      </c>
      <c r="H301" s="14" t="s">
        <v>151</v>
      </c>
      <c r="I301" s="15">
        <v>53</v>
      </c>
      <c r="J301" s="21">
        <f>1+0.414</f>
        <v>1.414</v>
      </c>
      <c r="K301" s="22">
        <f>G301*J301-0.005</f>
        <v>32.75738</v>
      </c>
      <c r="L301" s="37">
        <v>432</v>
      </c>
    </row>
    <row r="302" spans="1:12" ht="12.75">
      <c r="A302" s="11"/>
      <c r="B302" s="12"/>
      <c r="C302" s="12"/>
      <c r="D302" s="12"/>
      <c r="E302" s="12"/>
      <c r="F302" s="13"/>
      <c r="G302" s="12"/>
      <c r="H302" s="14"/>
      <c r="I302" s="15"/>
      <c r="J302" s="21"/>
      <c r="K302" s="21"/>
      <c r="L302" s="37"/>
    </row>
    <row r="303" spans="1:12" ht="12.75">
      <c r="A303" s="11" t="s">
        <v>428</v>
      </c>
      <c r="B303" s="12"/>
      <c r="C303" s="12"/>
      <c r="D303" s="12"/>
      <c r="E303" s="12"/>
      <c r="F303" s="13"/>
      <c r="G303" s="12"/>
      <c r="H303" s="14"/>
      <c r="I303" s="15"/>
      <c r="J303" s="21"/>
      <c r="K303" s="21"/>
      <c r="L303" s="37"/>
    </row>
    <row r="304" spans="1:12" ht="12.75">
      <c r="A304" s="11" t="s">
        <v>30</v>
      </c>
      <c r="B304" s="12"/>
      <c r="C304" s="12"/>
      <c r="D304" s="12"/>
      <c r="E304" s="12"/>
      <c r="F304" s="13"/>
      <c r="G304" s="12"/>
      <c r="H304" s="14"/>
      <c r="I304" s="15"/>
      <c r="J304" s="21"/>
      <c r="K304" s="21"/>
      <c r="L304" s="37"/>
    </row>
    <row r="305" spans="1:12" ht="12.75">
      <c r="A305" s="11"/>
      <c r="B305" s="12">
        <v>1</v>
      </c>
      <c r="C305" s="12">
        <v>5774</v>
      </c>
      <c r="D305" s="12" t="s">
        <v>172</v>
      </c>
      <c r="E305" s="12" t="s">
        <v>32</v>
      </c>
      <c r="F305" s="13" t="s">
        <v>345</v>
      </c>
      <c r="G305" s="12">
        <v>25.46</v>
      </c>
      <c r="H305" s="14" t="s">
        <v>144</v>
      </c>
      <c r="I305" s="15">
        <v>44</v>
      </c>
      <c r="J305" s="21">
        <f>1+0.6801</f>
        <v>1.6801</v>
      </c>
      <c r="K305" s="22">
        <f>G305*J305-0.005</f>
        <v>42.770345999999996</v>
      </c>
      <c r="L305" s="37">
        <v>571</v>
      </c>
    </row>
    <row r="306" spans="1:12" ht="12.75">
      <c r="A306" s="11"/>
      <c r="B306" s="12"/>
      <c r="C306" s="12"/>
      <c r="D306" s="12"/>
      <c r="E306" s="12"/>
      <c r="F306" s="13"/>
      <c r="G306" s="12"/>
      <c r="H306" s="14"/>
      <c r="I306" s="15"/>
      <c r="J306" s="21"/>
      <c r="K306" s="21"/>
      <c r="L306" s="37"/>
    </row>
    <row r="307" spans="1:12" ht="12.75">
      <c r="A307" s="11" t="s">
        <v>429</v>
      </c>
      <c r="B307" s="12"/>
      <c r="C307" s="12"/>
      <c r="D307" s="12"/>
      <c r="E307" s="12"/>
      <c r="F307" s="13"/>
      <c r="G307" s="12"/>
      <c r="H307" s="14"/>
      <c r="I307" s="15"/>
      <c r="J307" s="21"/>
      <c r="K307" s="21"/>
      <c r="L307" s="37"/>
    </row>
    <row r="308" spans="1:12" ht="12.75">
      <c r="A308" s="11"/>
      <c r="B308" s="12">
        <v>1</v>
      </c>
      <c r="C308" s="12">
        <v>5407</v>
      </c>
      <c r="D308" s="12" t="s">
        <v>270</v>
      </c>
      <c r="E308" s="12" t="s">
        <v>49</v>
      </c>
      <c r="F308" s="13" t="s">
        <v>346</v>
      </c>
      <c r="G308" s="12">
        <v>13.61</v>
      </c>
      <c r="H308" s="14" t="s">
        <v>269</v>
      </c>
      <c r="I308" s="15">
        <v>32</v>
      </c>
      <c r="J308" s="21">
        <f>1+0.0952</f>
        <v>1.0952</v>
      </c>
      <c r="K308" s="22">
        <f>G308*J308-0.005</f>
        <v>14.900671999999998</v>
      </c>
      <c r="L308" s="37">
        <v>184</v>
      </c>
    </row>
    <row r="309" spans="1:12" ht="12.75">
      <c r="A309" s="11"/>
      <c r="B309" s="12">
        <v>2</v>
      </c>
      <c r="C309" s="12">
        <v>6037</v>
      </c>
      <c r="D309" s="12" t="s">
        <v>267</v>
      </c>
      <c r="E309" s="12" t="s">
        <v>10</v>
      </c>
      <c r="F309" s="13" t="s">
        <v>347</v>
      </c>
      <c r="G309" s="17">
        <v>13.1</v>
      </c>
      <c r="H309" s="14" t="s">
        <v>269</v>
      </c>
      <c r="I309" s="15">
        <v>34</v>
      </c>
      <c r="J309" s="21">
        <f>1+0.0952</f>
        <v>1.0952</v>
      </c>
      <c r="K309" s="22">
        <f>G309*J309-0.005</f>
        <v>14.342119999999998</v>
      </c>
      <c r="L309" s="37">
        <v>177</v>
      </c>
    </row>
    <row r="310" spans="1:12" ht="12.75">
      <c r="A310" s="18"/>
      <c r="B310" s="18"/>
      <c r="C310" s="18"/>
      <c r="D310" s="18"/>
      <c r="E310" s="18"/>
      <c r="F310" s="19"/>
      <c r="G310" s="18"/>
      <c r="H310" s="20"/>
      <c r="I310" s="20"/>
      <c r="J310" s="32"/>
      <c r="K310" s="32"/>
      <c r="L310" s="38"/>
    </row>
  </sheetData>
  <sheetProtection/>
  <mergeCells count="1">
    <mergeCell ref="J1:K1"/>
  </mergeCells>
  <printOptions/>
  <pageMargins left="0.94" right="0.27" top="0.39" bottom="0.36" header="0.33" footer="0.3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Bultinck</cp:lastModifiedBy>
  <cp:lastPrinted>2015-05-27T20:55:49Z</cp:lastPrinted>
  <dcterms:created xsi:type="dcterms:W3CDTF">2015-05-26T20:31:49Z</dcterms:created>
  <dcterms:modified xsi:type="dcterms:W3CDTF">2015-06-21T16:03:14Z</dcterms:modified>
  <cp:category/>
  <cp:version/>
  <cp:contentType/>
  <cp:contentStatus/>
</cp:coreProperties>
</file>